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0" documentId="8_{A5A689EF-53CF-45CF-AEC7-0E3F397A6119}" xr6:coauthVersionLast="47" xr6:coauthVersionMax="47" xr10:uidLastSave="{00000000-0000-0000-0000-000000000000}"/>
  <bookViews>
    <workbookView xWindow="-80" yWindow="-80" windowWidth="19360" windowHeight="10240" xr2:uid="{00000000-000D-0000-FFFF-FFFF00000000}"/>
  </bookViews>
  <sheets>
    <sheet name="MiR" sheetId="1" r:id="rId1"/>
    <sheet name="IKRS" sheetId="2" r:id="rId2"/>
    <sheet name="HUMR" sheetId="3" r:id="rId3"/>
    <sheet name="SERI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4" l="1"/>
  <c r="D9" i="4"/>
  <c r="E10" i="3"/>
  <c r="D10" i="3"/>
  <c r="D87" i="1"/>
  <c r="E87" i="1" s="1"/>
  <c r="D86" i="1"/>
  <c r="E86" i="1" s="1"/>
  <c r="C87" i="1"/>
  <c r="C86" i="1"/>
  <c r="F20" i="1"/>
  <c r="F6" i="2"/>
  <c r="F7" i="2"/>
  <c r="F8" i="2"/>
  <c r="F10" i="2"/>
  <c r="F12" i="2"/>
  <c r="F14" i="2"/>
  <c r="F16" i="2"/>
  <c r="F17" i="2"/>
  <c r="F20" i="2"/>
  <c r="F21" i="2"/>
  <c r="F22" i="2"/>
  <c r="F23" i="2"/>
  <c r="F24" i="2"/>
  <c r="F26" i="2"/>
  <c r="F5" i="2"/>
  <c r="E27" i="2"/>
  <c r="D27" i="2"/>
  <c r="D46" i="1"/>
  <c r="D45" i="1"/>
  <c r="C46" i="1"/>
  <c r="C45" i="1"/>
  <c r="E96" i="1"/>
  <c r="E97" i="1"/>
  <c r="E95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49" i="1"/>
  <c r="D84" i="1"/>
  <c r="D90" i="1" s="1"/>
  <c r="C84" i="1"/>
  <c r="C90" i="1" s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24" i="1"/>
  <c r="D43" i="1"/>
  <c r="D89" i="1" s="1"/>
  <c r="C43" i="1"/>
  <c r="C89" i="1" s="1"/>
  <c r="C91" i="1" s="1"/>
  <c r="E6" i="1"/>
  <c r="E7" i="1"/>
  <c r="E8" i="1"/>
  <c r="E9" i="1"/>
  <c r="E10" i="1"/>
  <c r="E11" i="1"/>
  <c r="E12" i="1"/>
  <c r="E13" i="1"/>
  <c r="E14" i="1"/>
  <c r="E15" i="1"/>
  <c r="E17" i="1"/>
  <c r="E18" i="1"/>
  <c r="E19" i="1"/>
  <c r="E5" i="1"/>
  <c r="D20" i="1"/>
  <c r="C20" i="1"/>
  <c r="J20" i="1"/>
  <c r="H87" i="1"/>
  <c r="H86" i="1"/>
  <c r="G87" i="1"/>
  <c r="G86" i="1"/>
  <c r="I52" i="1"/>
  <c r="I51" i="1"/>
  <c r="I50" i="1"/>
  <c r="I49" i="1"/>
  <c r="I57" i="1"/>
  <c r="I54" i="1"/>
  <c r="G45" i="1"/>
  <c r="H45" i="1"/>
  <c r="H46" i="1"/>
  <c r="G46" i="1"/>
  <c r="I25" i="1"/>
  <c r="L5" i="3"/>
  <c r="I26" i="2"/>
  <c r="I21" i="2"/>
  <c r="I19" i="2"/>
  <c r="I15" i="2"/>
  <c r="I9" i="2"/>
  <c r="I8" i="4"/>
  <c r="H9" i="4"/>
  <c r="G9" i="4"/>
  <c r="I7" i="4"/>
  <c r="I6" i="4"/>
  <c r="I5" i="4"/>
  <c r="H10" i="3"/>
  <c r="G10" i="3"/>
  <c r="I9" i="3"/>
  <c r="I8" i="3"/>
  <c r="I7" i="3"/>
  <c r="H27" i="2"/>
  <c r="G27" i="2"/>
  <c r="I25" i="2"/>
  <c r="I24" i="2"/>
  <c r="I23" i="2"/>
  <c r="I22" i="2"/>
  <c r="I20" i="2"/>
  <c r="I18" i="2"/>
  <c r="I14" i="2"/>
  <c r="I13" i="2"/>
  <c r="I12" i="2"/>
  <c r="I11" i="2"/>
  <c r="I8" i="2"/>
  <c r="I7" i="2"/>
  <c r="I6" i="2"/>
  <c r="I5" i="2"/>
  <c r="I97" i="1"/>
  <c r="I96" i="1"/>
  <c r="I80" i="1"/>
  <c r="I75" i="1"/>
  <c r="I74" i="1"/>
  <c r="I70" i="1"/>
  <c r="I66" i="1"/>
  <c r="I64" i="1"/>
  <c r="I61" i="1"/>
  <c r="I60" i="1"/>
  <c r="H84" i="1"/>
  <c r="H90" i="1" s="1"/>
  <c r="G84" i="1"/>
  <c r="I83" i="1"/>
  <c r="I82" i="1"/>
  <c r="I81" i="1"/>
  <c r="I79" i="1"/>
  <c r="I78" i="1"/>
  <c r="I77" i="1"/>
  <c r="I76" i="1"/>
  <c r="I73" i="1"/>
  <c r="I72" i="1"/>
  <c r="I71" i="1"/>
  <c r="I69" i="1"/>
  <c r="I67" i="1"/>
  <c r="I65" i="1"/>
  <c r="I63" i="1"/>
  <c r="I62" i="1"/>
  <c r="I59" i="1"/>
  <c r="I58" i="1"/>
  <c r="I56" i="1"/>
  <c r="I55" i="1"/>
  <c r="I53" i="1"/>
  <c r="I39" i="1"/>
  <c r="I33" i="1"/>
  <c r="I29" i="1"/>
  <c r="H43" i="1"/>
  <c r="H89" i="1" s="1"/>
  <c r="G43" i="1"/>
  <c r="I42" i="1"/>
  <c r="I41" i="1"/>
  <c r="I40" i="1"/>
  <c r="I38" i="1"/>
  <c r="I37" i="1"/>
  <c r="I36" i="1"/>
  <c r="I34" i="1"/>
  <c r="I32" i="1"/>
  <c r="I31" i="1"/>
  <c r="I30" i="1"/>
  <c r="I28" i="1"/>
  <c r="I27" i="1"/>
  <c r="I26" i="1"/>
  <c r="I24" i="1"/>
  <c r="I15" i="1"/>
  <c r="I14" i="1"/>
  <c r="H20" i="1"/>
  <c r="G20" i="1"/>
  <c r="I19" i="1"/>
  <c r="I18" i="1"/>
  <c r="I17" i="1"/>
  <c r="I16" i="1"/>
  <c r="I13" i="1"/>
  <c r="I12" i="1"/>
  <c r="I11" i="1"/>
  <c r="I10" i="1"/>
  <c r="I9" i="1"/>
  <c r="I8" i="1"/>
  <c r="I7" i="1"/>
  <c r="I6" i="1"/>
  <c r="I5" i="1"/>
  <c r="N20" i="1"/>
  <c r="AD20" i="1"/>
  <c r="Z20" i="1"/>
  <c r="R20" i="1"/>
  <c r="AC97" i="1"/>
  <c r="AC55" i="1"/>
  <c r="AC56" i="1"/>
  <c r="AC59" i="1"/>
  <c r="AC63" i="1"/>
  <c r="AC65" i="1"/>
  <c r="AC67" i="1"/>
  <c r="AC69" i="1"/>
  <c r="AC71" i="1"/>
  <c r="AC72" i="1"/>
  <c r="AC76" i="1"/>
  <c r="AC77" i="1"/>
  <c r="AC78" i="1"/>
  <c r="AC79" i="1"/>
  <c r="AC81" i="1"/>
  <c r="AC82" i="1"/>
  <c r="AC83" i="1"/>
  <c r="AC53" i="1"/>
  <c r="AB84" i="1"/>
  <c r="AB90" i="1" s="1"/>
  <c r="AA84" i="1"/>
  <c r="AC24" i="1"/>
  <c r="AC26" i="1"/>
  <c r="AC27" i="1"/>
  <c r="AC31" i="1"/>
  <c r="AC32" i="1"/>
  <c r="AC34" i="1"/>
  <c r="AC36" i="1"/>
  <c r="AC37" i="1"/>
  <c r="AC38" i="1"/>
  <c r="AC40" i="1"/>
  <c r="AC41" i="1"/>
  <c r="AC42" i="1"/>
  <c r="AB43" i="1"/>
  <c r="AB89" i="1" s="1"/>
  <c r="AA43" i="1"/>
  <c r="AC6" i="1"/>
  <c r="AC7" i="1"/>
  <c r="AC8" i="1"/>
  <c r="AC9" i="1"/>
  <c r="AC10" i="1"/>
  <c r="AC12" i="1"/>
  <c r="AC13" i="1"/>
  <c r="AC16" i="1"/>
  <c r="AC17" i="1"/>
  <c r="AC18" i="1"/>
  <c r="AC19" i="1"/>
  <c r="AC5" i="1"/>
  <c r="AB20" i="1"/>
  <c r="AA20" i="1"/>
  <c r="K9" i="4"/>
  <c r="J9" i="4"/>
  <c r="L6" i="4"/>
  <c r="L7" i="4"/>
  <c r="L5" i="4"/>
  <c r="O7" i="3"/>
  <c r="O8" i="3"/>
  <c r="O9" i="3"/>
  <c r="O6" i="3"/>
  <c r="O5" i="3"/>
  <c r="N10" i="3"/>
  <c r="M10" i="3"/>
  <c r="L7" i="3"/>
  <c r="L8" i="3"/>
  <c r="L9" i="3"/>
  <c r="L6" i="3"/>
  <c r="K10" i="3"/>
  <c r="J10" i="3"/>
  <c r="K27" i="2"/>
  <c r="J27" i="2"/>
  <c r="L6" i="2"/>
  <c r="L7" i="2"/>
  <c r="L8" i="2"/>
  <c r="L10" i="2"/>
  <c r="L11" i="2"/>
  <c r="L12" i="2"/>
  <c r="L13" i="2"/>
  <c r="L14" i="2"/>
  <c r="L16" i="2"/>
  <c r="L18" i="2"/>
  <c r="L20" i="2"/>
  <c r="L22" i="2"/>
  <c r="L23" i="2"/>
  <c r="L24" i="2"/>
  <c r="L25" i="2"/>
  <c r="L26" i="2"/>
  <c r="L5" i="2"/>
  <c r="M97" i="1"/>
  <c r="M96" i="1"/>
  <c r="M55" i="1"/>
  <c r="M56" i="1"/>
  <c r="M58" i="1"/>
  <c r="M59" i="1"/>
  <c r="M62" i="1"/>
  <c r="M63" i="1"/>
  <c r="M65" i="1"/>
  <c r="M67" i="1"/>
  <c r="M69" i="1"/>
  <c r="M71" i="1"/>
  <c r="M72" i="1"/>
  <c r="M73" i="1"/>
  <c r="M76" i="1"/>
  <c r="M77" i="1"/>
  <c r="M78" i="1"/>
  <c r="M79" i="1"/>
  <c r="M81" i="1"/>
  <c r="M82" i="1"/>
  <c r="M83" i="1"/>
  <c r="M53" i="1"/>
  <c r="L84" i="1"/>
  <c r="L90" i="1" s="1"/>
  <c r="K84" i="1"/>
  <c r="M26" i="1"/>
  <c r="M27" i="1"/>
  <c r="M28" i="1"/>
  <c r="M30" i="1"/>
  <c r="M31" i="1"/>
  <c r="M32" i="1"/>
  <c r="M34" i="1"/>
  <c r="M36" i="1"/>
  <c r="M37" i="1"/>
  <c r="M38" i="1"/>
  <c r="M40" i="1"/>
  <c r="M41" i="1"/>
  <c r="M42" i="1"/>
  <c r="M24" i="1"/>
  <c r="L43" i="1"/>
  <c r="L89" i="1" s="1"/>
  <c r="K43" i="1"/>
  <c r="M6" i="1"/>
  <c r="M7" i="1"/>
  <c r="M8" i="1"/>
  <c r="M9" i="1"/>
  <c r="M10" i="1"/>
  <c r="M11" i="1"/>
  <c r="M12" i="1"/>
  <c r="M13" i="1"/>
  <c r="M16" i="1"/>
  <c r="M17" i="1"/>
  <c r="M18" i="1"/>
  <c r="M19" i="1"/>
  <c r="M5" i="1"/>
  <c r="L20" i="1"/>
  <c r="K20" i="1"/>
  <c r="F27" i="2" l="1"/>
  <c r="C92" i="1"/>
  <c r="D91" i="1"/>
  <c r="E43" i="1"/>
  <c r="E89" i="1" s="1"/>
  <c r="E20" i="1"/>
  <c r="E84" i="1"/>
  <c r="E90" i="1" s="1"/>
  <c r="E45" i="1"/>
  <c r="E46" i="1"/>
  <c r="L10" i="3"/>
  <c r="O10" i="3"/>
  <c r="L9" i="4"/>
  <c r="I9" i="4"/>
  <c r="I84" i="1"/>
  <c r="I45" i="1"/>
  <c r="I86" i="1"/>
  <c r="I87" i="1"/>
  <c r="H91" i="1"/>
  <c r="H92" i="1" s="1"/>
  <c r="I46" i="1"/>
  <c r="I43" i="1"/>
  <c r="I20" i="1"/>
  <c r="I27" i="2"/>
  <c r="L27" i="2"/>
  <c r="AB91" i="1"/>
  <c r="AB92" i="1" s="1"/>
  <c r="AC87" i="1"/>
  <c r="AC43" i="1"/>
  <c r="AC86" i="1"/>
  <c r="AC20" i="1"/>
  <c r="AC84" i="1"/>
  <c r="M86" i="1"/>
  <c r="M87" i="1"/>
  <c r="M43" i="1"/>
  <c r="M84" i="1"/>
  <c r="M20" i="1"/>
  <c r="L91" i="1"/>
  <c r="L92" i="1" s="1"/>
  <c r="P84" i="1"/>
  <c r="O84" i="1"/>
  <c r="X43" i="1"/>
  <c r="W43" i="1"/>
  <c r="E91" i="1" l="1"/>
  <c r="D92" i="1"/>
  <c r="E92" i="1" s="1"/>
  <c r="T43" i="1"/>
  <c r="S43" i="1"/>
  <c r="P43" i="1"/>
  <c r="O43" i="1"/>
  <c r="U20" i="1"/>
  <c r="T20" i="1"/>
  <c r="P20" i="1"/>
  <c r="O20" i="1"/>
  <c r="N27" i="2"/>
  <c r="M27" i="2"/>
  <c r="O8" i="2"/>
  <c r="N9" i="4"/>
  <c r="M9" i="4"/>
  <c r="S20" i="1" l="1"/>
  <c r="X91" i="1"/>
  <c r="Y87" i="1"/>
  <c r="Y86" i="1"/>
  <c r="U87" i="1"/>
  <c r="U86" i="1"/>
  <c r="Y84" i="1"/>
  <c r="Y83" i="1"/>
  <c r="Y82" i="1"/>
  <c r="Y81" i="1"/>
  <c r="Y78" i="1"/>
  <c r="Y76" i="1"/>
  <c r="Y69" i="1"/>
  <c r="Y67" i="1"/>
  <c r="Y65" i="1"/>
  <c r="Y63" i="1"/>
  <c r="Y59" i="1"/>
  <c r="Y55" i="1"/>
  <c r="Y53" i="1"/>
  <c r="U84" i="1"/>
  <c r="S84" i="1"/>
  <c r="U78" i="1"/>
  <c r="Y46" i="1"/>
  <c r="Y45" i="1"/>
  <c r="U46" i="1"/>
  <c r="U45" i="1"/>
  <c r="Y97" i="1"/>
  <c r="Y42" i="1"/>
  <c r="Y40" i="1"/>
  <c r="Y24" i="1"/>
  <c r="U5" i="1" l="1"/>
  <c r="U6" i="1"/>
  <c r="U7" i="1"/>
  <c r="U8" i="1"/>
  <c r="U9" i="1"/>
  <c r="U12" i="1"/>
  <c r="U13" i="1"/>
  <c r="U16" i="1"/>
  <c r="U17" i="1"/>
  <c r="U18" i="1"/>
  <c r="U19" i="1"/>
  <c r="U34" i="1"/>
  <c r="U59" i="1"/>
  <c r="U69" i="1"/>
  <c r="Y32" i="1" l="1"/>
  <c r="Q9" i="4" l="1"/>
  <c r="P9" i="4"/>
  <c r="Q10" i="3"/>
  <c r="P10" i="3"/>
  <c r="R27" i="2"/>
  <c r="Q27" i="2"/>
  <c r="P27" i="2"/>
  <c r="R14" i="2"/>
  <c r="R10" i="2"/>
  <c r="R8" i="2"/>
  <c r="R7" i="2"/>
  <c r="R6" i="2"/>
  <c r="R5" i="2"/>
  <c r="X9" i="4" l="1"/>
  <c r="U9" i="4"/>
  <c r="U7" i="4"/>
  <c r="X6" i="4"/>
  <c r="U6" i="4"/>
  <c r="X5" i="4"/>
  <c r="U5" i="4"/>
  <c r="X10" i="3"/>
  <c r="U10" i="3"/>
  <c r="X9" i="3"/>
  <c r="U9" i="3"/>
  <c r="X8" i="3"/>
  <c r="X7" i="3"/>
  <c r="U7" i="3"/>
  <c r="U6" i="3"/>
  <c r="X5" i="3"/>
  <c r="U5" i="3"/>
  <c r="X27" i="2"/>
  <c r="U27" i="2"/>
  <c r="U24" i="2"/>
  <c r="X20" i="2"/>
  <c r="X14" i="2"/>
  <c r="U14" i="2"/>
  <c r="U13" i="2"/>
  <c r="X12" i="2"/>
  <c r="U12" i="2"/>
  <c r="X10" i="2"/>
  <c r="U10" i="2"/>
  <c r="X8" i="2"/>
  <c r="U8" i="2"/>
  <c r="X7" i="2"/>
  <c r="U7" i="2"/>
  <c r="X5" i="2"/>
  <c r="U5" i="2"/>
  <c r="Y5" i="1" l="1"/>
  <c r="Y6" i="1"/>
  <c r="Y7" i="1"/>
  <c r="Y8" i="1"/>
  <c r="Y9" i="1"/>
  <c r="Y12" i="1"/>
  <c r="Y13" i="1"/>
  <c r="Y16" i="1"/>
  <c r="Y17" i="1"/>
  <c r="Y18" i="1"/>
  <c r="Y19" i="1"/>
  <c r="Y20" i="1"/>
  <c r="Y79" i="1" l="1"/>
  <c r="Y77" i="1"/>
  <c r="Y72" i="1"/>
  <c r="Y71" i="1"/>
  <c r="Y56" i="1"/>
  <c r="Y41" i="1"/>
  <c r="Y38" i="1"/>
  <c r="Y37" i="1"/>
  <c r="Y34" i="1"/>
  <c r="Y31" i="1"/>
  <c r="Y27" i="1"/>
  <c r="Y26" i="1"/>
</calcChain>
</file>

<file path=xl/sharedStrings.xml><?xml version="1.0" encoding="utf-8"?>
<sst xmlns="http://schemas.openxmlformats.org/spreadsheetml/2006/main" count="470" uniqueCount="255">
  <si>
    <t xml:space="preserve">Tallene er hentet fra FS582.001 (viser antall oppmeldte ved trekkfrist og antall møtte til eksamen) og Tableau Gjentaksstudenter_JFM5-emner (viser antall og andel gjentaksstudenter av antall møtte) </t>
  </si>
  <si>
    <t>Emne</t>
  </si>
  <si>
    <t>Emnenavn</t>
  </si>
  <si>
    <t>Vår 2024</t>
  </si>
  <si>
    <t>Vår 2023</t>
  </si>
  <si>
    <t>Vår 2022</t>
  </si>
  <si>
    <t>Vår 2021</t>
  </si>
  <si>
    <t>Vår 2020</t>
  </si>
  <si>
    <t>Vår 2019</t>
  </si>
  <si>
    <t>Studieårsemner</t>
  </si>
  <si>
    <t>Oppmeldt</t>
  </si>
  <si>
    <t>Møtt</t>
  </si>
  <si>
    <t>%møtt</t>
  </si>
  <si>
    <t>%gjentak</t>
  </si>
  <si>
    <t>Oppmeldte</t>
  </si>
  <si>
    <t xml:space="preserve">%gjentak </t>
  </si>
  <si>
    <t>JUS1111</t>
  </si>
  <si>
    <t>Privatrett I</t>
  </si>
  <si>
    <t>JUS1211</t>
  </si>
  <si>
    <t>Privatrett II</t>
  </si>
  <si>
    <t>JUS2111</t>
  </si>
  <si>
    <t>Statsforfatningsrett</t>
  </si>
  <si>
    <t>JUS2211</t>
  </si>
  <si>
    <t xml:space="preserve">Forvaltningsrett og </t>
  </si>
  <si>
    <t>JFEXFAC04</t>
  </si>
  <si>
    <t>Ex.fac</t>
  </si>
  <si>
    <t>JUS3112</t>
  </si>
  <si>
    <t>Formuerett I</t>
  </si>
  <si>
    <t>JUS3213</t>
  </si>
  <si>
    <t>Formuerett II</t>
  </si>
  <si>
    <t>JUS3220</t>
  </si>
  <si>
    <t>Rettshistorie</t>
  </si>
  <si>
    <t>JUS4111</t>
  </si>
  <si>
    <t>Metode og etikk</t>
  </si>
  <si>
    <t>JUS4212</t>
  </si>
  <si>
    <t>Sivilprosess</t>
  </si>
  <si>
    <t>JUS4213</t>
  </si>
  <si>
    <t>Strafferett og straffeprosess</t>
  </si>
  <si>
    <t>JUS4211</t>
  </si>
  <si>
    <t>Prosess og straffere</t>
  </si>
  <si>
    <t>JUS4121</t>
  </si>
  <si>
    <t>Rettsøkonomi 1</t>
  </si>
  <si>
    <t>JUS4122</t>
  </si>
  <si>
    <t>Rettssosiologi 1</t>
  </si>
  <si>
    <t>JUS4123</t>
  </si>
  <si>
    <t>Rettsfilosofi</t>
  </si>
  <si>
    <t>Totalt</t>
  </si>
  <si>
    <t>Valgemner ba-nivå</t>
  </si>
  <si>
    <t>Oppmledt</t>
  </si>
  <si>
    <t>JUR1120</t>
  </si>
  <si>
    <t>Utlendingsrett</t>
  </si>
  <si>
    <t>JUR1130</t>
  </si>
  <si>
    <t xml:space="preserve">Demokrati og rettsstaten </t>
  </si>
  <si>
    <t>JUR1220</t>
  </si>
  <si>
    <t>Bygge- og entreprise</t>
  </si>
  <si>
    <t>JUR1230</t>
  </si>
  <si>
    <t>Int. Commercial Law</t>
  </si>
  <si>
    <t>JUR1412</t>
  </si>
  <si>
    <t xml:space="preserve">Energy law </t>
  </si>
  <si>
    <t>JUR1435</t>
  </si>
  <si>
    <t xml:space="preserve">Bærekraftig arealforvaltnings </t>
  </si>
  <si>
    <t>JUR1441</t>
  </si>
  <si>
    <t>EU External relations (ny)</t>
  </si>
  <si>
    <t>JUR1504</t>
  </si>
  <si>
    <t>Konflikthåndtering</t>
  </si>
  <si>
    <t>JUR1512</t>
  </si>
  <si>
    <t>Arbeidsrett (koll.)</t>
  </si>
  <si>
    <t>JUR1528</t>
  </si>
  <si>
    <t>Corporate Sustainabi</t>
  </si>
  <si>
    <t>JUR1530</t>
  </si>
  <si>
    <t>Refugee and Asylum</t>
  </si>
  <si>
    <t>JUR1565</t>
  </si>
  <si>
    <t>EU Constitutional Law</t>
  </si>
  <si>
    <t>JUR1671</t>
  </si>
  <si>
    <t>Legal Technology: Ar</t>
  </si>
  <si>
    <t>JUR1820</t>
  </si>
  <si>
    <t>Patent- og varemerke</t>
  </si>
  <si>
    <t>JUR1910</t>
  </si>
  <si>
    <t>Women's Law and Huma</t>
  </si>
  <si>
    <t xml:space="preserve">Law of Obligations </t>
  </si>
  <si>
    <t>JUR1960</t>
  </si>
  <si>
    <t>Trygderett</t>
  </si>
  <si>
    <t>JUR1970</t>
  </si>
  <si>
    <t>Barnerett</t>
  </si>
  <si>
    <t>JUR1981</t>
  </si>
  <si>
    <t>Grunnleggende skatte</t>
  </si>
  <si>
    <t>Valgemner</t>
  </si>
  <si>
    <t xml:space="preserve">Engelske </t>
  </si>
  <si>
    <t>BA</t>
  </si>
  <si>
    <t xml:space="preserve">Norske </t>
  </si>
  <si>
    <t>Valgemner ma-nivå</t>
  </si>
  <si>
    <t>JUS5010</t>
  </si>
  <si>
    <t xml:space="preserve">Juridisk praksis </t>
  </si>
  <si>
    <t>JUS5020</t>
  </si>
  <si>
    <t xml:space="preserve">Praksis I Europa </t>
  </si>
  <si>
    <t>JUS5042</t>
  </si>
  <si>
    <t xml:space="preserve">Moot Court </t>
  </si>
  <si>
    <t>JUS5043</t>
  </si>
  <si>
    <t xml:space="preserve">Prosedyre </t>
  </si>
  <si>
    <t>JUS5120</t>
  </si>
  <si>
    <t>Utlendingsrett (frem</t>
  </si>
  <si>
    <t>JUS5130</t>
  </si>
  <si>
    <t>Demokrati og rettsst</t>
  </si>
  <si>
    <t>JUS5220</t>
  </si>
  <si>
    <t>JUS5230</t>
  </si>
  <si>
    <t>JUS5320</t>
  </si>
  <si>
    <t>EØS-rett: næringsliv</t>
  </si>
  <si>
    <t>JUS5412</t>
  </si>
  <si>
    <t>JUS5420</t>
  </si>
  <si>
    <t>Forsikringsrett</t>
  </si>
  <si>
    <t>JUS5425</t>
  </si>
  <si>
    <t>Ressurs- og konsesjons</t>
  </si>
  <si>
    <t>JUS5435</t>
  </si>
  <si>
    <t>Bærekraftig arealfor</t>
  </si>
  <si>
    <t>JUS5441</t>
  </si>
  <si>
    <t>EU External relations</t>
  </si>
  <si>
    <t>JUS5504</t>
  </si>
  <si>
    <t>JUS5506</t>
  </si>
  <si>
    <t>Politi og påtalerett</t>
  </si>
  <si>
    <t>JUS5512</t>
  </si>
  <si>
    <t>JUS5528</t>
  </si>
  <si>
    <t>JUS5530</t>
  </si>
  <si>
    <t>Ref &amp; Asyl</t>
  </si>
  <si>
    <t>JUS5565</t>
  </si>
  <si>
    <t xml:space="preserve">EU Constitutional Law </t>
  </si>
  <si>
    <t>JUS5570</t>
  </si>
  <si>
    <t>Int. Criminal Law</t>
  </si>
  <si>
    <t>JUS5645/N</t>
  </si>
  <si>
    <t>Data Law/Datarett</t>
  </si>
  <si>
    <t>JUS5650</t>
  </si>
  <si>
    <t>Cybersecurity Regula</t>
  </si>
  <si>
    <t>JUS5671</t>
  </si>
  <si>
    <t>JUS5690</t>
  </si>
  <si>
    <t>Robot Regulation</t>
  </si>
  <si>
    <t>JUS8515</t>
  </si>
  <si>
    <t>Transaksjonsrett</t>
  </si>
  <si>
    <t>JUS5818</t>
  </si>
  <si>
    <t>Insolvensrett</t>
  </si>
  <si>
    <t>JUS5820</t>
  </si>
  <si>
    <t>JUS5851</t>
  </si>
  <si>
    <t>International Invest</t>
  </si>
  <si>
    <t>JUS5910</t>
  </si>
  <si>
    <t>JUS5911</t>
  </si>
  <si>
    <t>International Climat</t>
  </si>
  <si>
    <t>JUS5932</t>
  </si>
  <si>
    <t>Law of Obligations</t>
  </si>
  <si>
    <t>JUS5960</t>
  </si>
  <si>
    <t>JUS5970</t>
  </si>
  <si>
    <t>JUS5981</t>
  </si>
  <si>
    <t>Skatterett I: Grunnl</t>
  </si>
  <si>
    <t>Engelske</t>
  </si>
  <si>
    <t>MA</t>
  </si>
  <si>
    <t>Alle valgemner BA</t>
  </si>
  <si>
    <t>Alle valgemner MA</t>
  </si>
  <si>
    <t>Alle valgemner</t>
  </si>
  <si>
    <t>Alle emner rettsstudiet + valgemner</t>
  </si>
  <si>
    <t xml:space="preserve">totalt </t>
  </si>
  <si>
    <t>totalt</t>
  </si>
  <si>
    <t xml:space="preserve">Andre emner </t>
  </si>
  <si>
    <t>JFVU1300</t>
  </si>
  <si>
    <t>Arbeidsrett</t>
  </si>
  <si>
    <t>JUROFF1210</t>
  </si>
  <si>
    <t>Intro. Forvaltningsrett</t>
  </si>
  <si>
    <t>(var høstemne)</t>
  </si>
  <si>
    <t>JUROFF1410</t>
  </si>
  <si>
    <t>Folkerett</t>
  </si>
  <si>
    <t>JUR5030</t>
  </si>
  <si>
    <t>Masteroppgave 30 stp</t>
  </si>
  <si>
    <t>JUR5060</t>
  </si>
  <si>
    <t>Masteroppgave 60 sto</t>
  </si>
  <si>
    <t>ICTLTHESIS</t>
  </si>
  <si>
    <t xml:space="preserve">Master Thesis </t>
  </si>
  <si>
    <t>MARLTHESIS</t>
  </si>
  <si>
    <t>PILTHESIS</t>
  </si>
  <si>
    <t>Oppnådd grad MiR</t>
  </si>
  <si>
    <t>V25</t>
  </si>
  <si>
    <t>HUMR</t>
  </si>
  <si>
    <t>ICTL</t>
  </si>
  <si>
    <t>MARL</t>
  </si>
  <si>
    <t>PIL</t>
  </si>
  <si>
    <t xml:space="preserve">Tallene er hentet fra FS582.001 (viser antall oppmeldte ved trekkfrist og antall møtte til eksamen)  </t>
  </si>
  <si>
    <t>Vår 2025</t>
  </si>
  <si>
    <t>IKRS-emner</t>
  </si>
  <si>
    <t>KRIM1300</t>
  </si>
  <si>
    <t>Sosial kontroll</t>
  </si>
  <si>
    <t>KRIM2000</t>
  </si>
  <si>
    <t xml:space="preserve">Sentrale teoretiske </t>
  </si>
  <si>
    <t>KRIM2101</t>
  </si>
  <si>
    <t>Fordypningsoppgave i</t>
  </si>
  <si>
    <t>KRIM2953</t>
  </si>
  <si>
    <t>Criminological Persp</t>
  </si>
  <si>
    <t>KRIM2954</t>
  </si>
  <si>
    <t>Cultural and Narrati</t>
  </si>
  <si>
    <t>KRIM2960</t>
  </si>
  <si>
    <t xml:space="preserve">Green Criminology_x000D_
</t>
  </si>
  <si>
    <t>KRIM2963</t>
  </si>
  <si>
    <t>Crime and technology</t>
  </si>
  <si>
    <t>KRIM4102</t>
  </si>
  <si>
    <t>KRIM4104</t>
  </si>
  <si>
    <t>Prosjektdesign</t>
  </si>
  <si>
    <t>KRIM4953</t>
  </si>
  <si>
    <t>KRIM4954</t>
  </si>
  <si>
    <t>KRIM4960</t>
  </si>
  <si>
    <t>Green Criminology</t>
  </si>
  <si>
    <t>KRIM4962</t>
  </si>
  <si>
    <t>The Sociology of Leg</t>
  </si>
  <si>
    <t>KRIM4963</t>
  </si>
  <si>
    <t>KRIM4965</t>
  </si>
  <si>
    <t>Sicial Harm and Crim</t>
  </si>
  <si>
    <t>KRIM5001</t>
  </si>
  <si>
    <t>Masteroppgave i krim</t>
  </si>
  <si>
    <t>KRS4210</t>
  </si>
  <si>
    <t>Kriminologi og retts</t>
  </si>
  <si>
    <t>RSOS2952</t>
  </si>
  <si>
    <t>Law, ideology and Human rights violations</t>
  </si>
  <si>
    <t>(høstemne)</t>
  </si>
  <si>
    <t>RSOS4952</t>
  </si>
  <si>
    <t>RSOS4102</t>
  </si>
  <si>
    <t>RSOS4104</t>
  </si>
  <si>
    <t>RSOS5001</t>
  </si>
  <si>
    <t>Masteroppgave i rett</t>
  </si>
  <si>
    <t>Krim-BA</t>
  </si>
  <si>
    <t>Krim-MA</t>
  </si>
  <si>
    <t>RSOS-MA</t>
  </si>
  <si>
    <t>HUMR-emner</t>
  </si>
  <si>
    <t>HUMR4504</t>
  </si>
  <si>
    <t>Human Rights in Prac</t>
  </si>
  <si>
    <t xml:space="preserve">(ikke klart) </t>
  </si>
  <si>
    <t>HUMR5150</t>
  </si>
  <si>
    <t>The Philosophy of Hu</t>
  </si>
  <si>
    <t xml:space="preserve">(emnet gikk ikke) </t>
  </si>
  <si>
    <t>(emnet gikk ikke)</t>
  </si>
  <si>
    <t>HUMR5200</t>
  </si>
  <si>
    <t>Thesis in The Theory</t>
  </si>
  <si>
    <t>HUMR5508</t>
  </si>
  <si>
    <t>Human Rights and Div</t>
  </si>
  <si>
    <t>HUMR5702</t>
  </si>
  <si>
    <t>Human Rights and Sus</t>
  </si>
  <si>
    <t>V24</t>
  </si>
  <si>
    <t>V23</t>
  </si>
  <si>
    <t>V22</t>
  </si>
  <si>
    <t>V21</t>
  </si>
  <si>
    <t>V20</t>
  </si>
  <si>
    <t>V19</t>
  </si>
  <si>
    <t>Seri-emner</t>
  </si>
  <si>
    <t>RINF1100</t>
  </si>
  <si>
    <t>Ytringsfrihet, medie</t>
  </si>
  <si>
    <t>FINF4021</t>
  </si>
  <si>
    <t>Automatisert rettsan</t>
  </si>
  <si>
    <t>FINF4022</t>
  </si>
  <si>
    <t>Forskningmetoder</t>
  </si>
  <si>
    <t>FINF5002</t>
  </si>
  <si>
    <t xml:space="preserve">Masteroppgave I forvaltningsrett </t>
  </si>
  <si>
    <t>Oppnådd grad</t>
  </si>
  <si>
    <t>FINF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</si>
</sst>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</cellStyleXfs>
  <cellXfs count="591">
    <xf numFmtId="0" fontId="0" fillId="0" borderId="0" xfId="0"/>
    <xf numFmtId="0" fontId="0" fillId="2" borderId="2" xfId="0" applyFill="1" applyBorder="1"/>
    <xf numFmtId="0" fontId="2" fillId="3" borderId="1" xfId="0" applyFont="1" applyFill="1" applyBorder="1"/>
    <xf numFmtId="0" fontId="2" fillId="3" borderId="2" xfId="0" applyFont="1" applyFill="1" applyBorder="1" applyAlignment="1">
      <alignment horizontal="right"/>
    </xf>
    <xf numFmtId="0" fontId="0" fillId="3" borderId="3" xfId="0" applyFill="1" applyBorder="1"/>
    <xf numFmtId="0" fontId="0" fillId="3" borderId="0" xfId="0" applyFill="1"/>
    <xf numFmtId="0" fontId="3" fillId="0" borderId="0" xfId="3"/>
    <xf numFmtId="0" fontId="3" fillId="3" borderId="3" xfId="3" applyFill="1" applyBorder="1"/>
    <xf numFmtId="0" fontId="3" fillId="3" borderId="0" xfId="3" applyFill="1"/>
    <xf numFmtId="0" fontId="3" fillId="0" borderId="3" xfId="3" applyBorder="1"/>
    <xf numFmtId="0" fontId="3" fillId="0" borderId="1" xfId="3" applyBorder="1"/>
    <xf numFmtId="0" fontId="4" fillId="2" borderId="1" xfId="3" applyFont="1" applyFill="1" applyBorder="1"/>
    <xf numFmtId="0" fontId="2" fillId="3" borderId="2" xfId="0" applyFont="1" applyFill="1" applyBorder="1"/>
    <xf numFmtId="0" fontId="4" fillId="3" borderId="2" xfId="3" applyFont="1" applyFill="1" applyBorder="1"/>
    <xf numFmtId="0" fontId="2" fillId="4" borderId="7" xfId="0" applyFont="1" applyFill="1" applyBorder="1"/>
    <xf numFmtId="0" fontId="3" fillId="4" borderId="0" xfId="3" applyFill="1"/>
    <xf numFmtId="0" fontId="2" fillId="4" borderId="2" xfId="0" applyFont="1" applyFill="1" applyBorder="1"/>
    <xf numFmtId="0" fontId="2" fillId="4" borderId="1" xfId="0" applyFont="1" applyFill="1" applyBorder="1"/>
    <xf numFmtId="0" fontId="2" fillId="4" borderId="2" xfId="0" applyFont="1" applyFill="1" applyBorder="1" applyAlignment="1">
      <alignment horizontal="right"/>
    </xf>
    <xf numFmtId="9" fontId="2" fillId="4" borderId="2" xfId="1" applyFont="1" applyFill="1" applyBorder="1" applyAlignment="1">
      <alignment horizontal="right"/>
    </xf>
    <xf numFmtId="0" fontId="4" fillId="0" borderId="1" xfId="3" applyFont="1" applyBorder="1"/>
    <xf numFmtId="0" fontId="4" fillId="4" borderId="2" xfId="3" applyFont="1" applyFill="1" applyBorder="1"/>
    <xf numFmtId="0" fontId="5" fillId="0" borderId="0" xfId="0" applyFont="1"/>
    <xf numFmtId="0" fontId="4" fillId="5" borderId="2" xfId="3" applyFont="1" applyFill="1" applyBorder="1"/>
    <xf numFmtId="0" fontId="2" fillId="5" borderId="2" xfId="0" applyFont="1" applyFill="1" applyBorder="1"/>
    <xf numFmtId="0" fontId="2" fillId="3" borderId="7" xfId="0" applyFont="1" applyFill="1" applyBorder="1"/>
    <xf numFmtId="9" fontId="2" fillId="4" borderId="8" xfId="1" applyFont="1" applyFill="1" applyBorder="1" applyAlignment="1">
      <alignment horizontal="right"/>
    </xf>
    <xf numFmtId="0" fontId="2" fillId="5" borderId="7" xfId="0" applyFont="1" applyFill="1" applyBorder="1"/>
    <xf numFmtId="0" fontId="3" fillId="2" borderId="1" xfId="3" applyFill="1" applyBorder="1"/>
    <xf numFmtId="0" fontId="2" fillId="5" borderId="2" xfId="0" applyFont="1" applyFill="1" applyBorder="1" applyAlignment="1">
      <alignment horizontal="right"/>
    </xf>
    <xf numFmtId="9" fontId="2" fillId="5" borderId="2" xfId="1" applyFont="1" applyFill="1" applyBorder="1" applyAlignment="1">
      <alignment horizontal="right"/>
    </xf>
    <xf numFmtId="0" fontId="3" fillId="5" borderId="0" xfId="3" applyFill="1"/>
    <xf numFmtId="9" fontId="0" fillId="5" borderId="0" xfId="1" applyFont="1" applyFill="1" applyBorder="1"/>
    <xf numFmtId="0" fontId="4" fillId="0" borderId="2" xfId="3" applyFont="1" applyBorder="1"/>
    <xf numFmtId="9" fontId="2" fillId="5" borderId="2" xfId="1" applyFont="1" applyFill="1" applyBorder="1"/>
    <xf numFmtId="0" fontId="3" fillId="0" borderId="4" xfId="3" applyBorder="1"/>
    <xf numFmtId="0" fontId="3" fillId="5" borderId="5" xfId="3" applyFill="1" applyBorder="1"/>
    <xf numFmtId="9" fontId="0" fillId="5" borderId="5" xfId="1" applyFont="1" applyFill="1" applyBorder="1"/>
    <xf numFmtId="0" fontId="0" fillId="4" borderId="6" xfId="0" applyFill="1" applyBorder="1"/>
    <xf numFmtId="0" fontId="0" fillId="4" borderId="7" xfId="0" applyFill="1" applyBorder="1"/>
    <xf numFmtId="0" fontId="3" fillId="4" borderId="3" xfId="3" applyFill="1" applyBorder="1"/>
    <xf numFmtId="0" fontId="3" fillId="4" borderId="9" xfId="3" applyFill="1" applyBorder="1"/>
    <xf numFmtId="0" fontId="4" fillId="4" borderId="1" xfId="3" applyFont="1" applyFill="1" applyBorder="1"/>
    <xf numFmtId="0" fontId="4" fillId="4" borderId="8" xfId="3" applyFont="1" applyFill="1" applyBorder="1"/>
    <xf numFmtId="0" fontId="0" fillId="0" borderId="6" xfId="0" applyBorder="1"/>
    <xf numFmtId="0" fontId="0" fillId="0" borderId="7" xfId="0" applyBorder="1"/>
    <xf numFmtId="0" fontId="0" fillId="0" borderId="11" xfId="0" applyBorder="1"/>
    <xf numFmtId="0" fontId="2" fillId="5" borderId="1" xfId="0" applyFont="1" applyFill="1" applyBorder="1"/>
    <xf numFmtId="0" fontId="3" fillId="5" borderId="3" xfId="3" applyFill="1" applyBorder="1"/>
    <xf numFmtId="0" fontId="4" fillId="5" borderId="1" xfId="3" applyFont="1" applyFill="1" applyBorder="1"/>
    <xf numFmtId="0" fontId="0" fillId="5" borderId="7" xfId="0" applyFill="1" applyBorder="1"/>
    <xf numFmtId="0" fontId="0" fillId="2" borderId="8" xfId="0" applyFill="1" applyBorder="1"/>
    <xf numFmtId="0" fontId="3" fillId="0" borderId="9" xfId="3" applyBorder="1"/>
    <xf numFmtId="0" fontId="4" fillId="0" borderId="8" xfId="3" applyFont="1" applyBorder="1"/>
    <xf numFmtId="10" fontId="3" fillId="4" borderId="9" xfId="3" applyNumberFormat="1" applyFill="1" applyBorder="1"/>
    <xf numFmtId="10" fontId="0" fillId="0" borderId="0" xfId="0" applyNumberFormat="1"/>
    <xf numFmtId="10" fontId="0" fillId="4" borderId="11" xfId="0" applyNumberFormat="1" applyFill="1" applyBorder="1"/>
    <xf numFmtId="10" fontId="2" fillId="4" borderId="8" xfId="1" applyNumberFormat="1" applyFont="1" applyFill="1" applyBorder="1" applyAlignment="1">
      <alignment horizontal="right"/>
    </xf>
    <xf numFmtId="10" fontId="4" fillId="4" borderId="8" xfId="3" applyNumberFormat="1" applyFont="1" applyFill="1" applyBorder="1"/>
    <xf numFmtId="0" fontId="3" fillId="2" borderId="8" xfId="3" applyFill="1" applyBorder="1"/>
    <xf numFmtId="0" fontId="3" fillId="0" borderId="10" xfId="3" applyBorder="1"/>
    <xf numFmtId="0" fontId="0" fillId="3" borderId="7" xfId="0" applyFill="1" applyBorder="1"/>
    <xf numFmtId="0" fontId="3" fillId="4" borderId="4" xfId="3" applyFill="1" applyBorder="1"/>
    <xf numFmtId="0" fontId="3" fillId="4" borderId="5" xfId="3" applyFill="1" applyBorder="1"/>
    <xf numFmtId="0" fontId="3" fillId="4" borderId="10" xfId="3" applyFill="1" applyBorder="1"/>
    <xf numFmtId="0" fontId="5" fillId="3" borderId="11" xfId="0" applyFont="1" applyFill="1" applyBorder="1"/>
    <xf numFmtId="9" fontId="2" fillId="3" borderId="8" xfId="1" applyFont="1" applyFill="1" applyBorder="1" applyAlignment="1">
      <alignment horizontal="right"/>
    </xf>
    <xf numFmtId="9" fontId="0" fillId="3" borderId="9" xfId="1" applyFont="1" applyFill="1" applyBorder="1"/>
    <xf numFmtId="9" fontId="0" fillId="3" borderId="10" xfId="1" applyFont="1" applyFill="1" applyBorder="1"/>
    <xf numFmtId="9" fontId="2" fillId="3" borderId="8" xfId="1" applyFont="1" applyFill="1" applyBorder="1"/>
    <xf numFmtId="0" fontId="2" fillId="4" borderId="6" xfId="0" applyFont="1" applyFill="1" applyBorder="1"/>
    <xf numFmtId="10" fontId="2" fillId="4" borderId="11" xfId="0" applyNumberFormat="1" applyFont="1" applyFill="1" applyBorder="1"/>
    <xf numFmtId="0" fontId="2" fillId="5" borderId="6" xfId="0" applyFont="1" applyFill="1" applyBorder="1"/>
    <xf numFmtId="9" fontId="2" fillId="5" borderId="8" xfId="1" applyFont="1" applyFill="1" applyBorder="1" applyAlignment="1">
      <alignment horizontal="right"/>
    </xf>
    <xf numFmtId="9" fontId="0" fillId="5" borderId="9" xfId="1" applyFont="1" applyFill="1" applyBorder="1"/>
    <xf numFmtId="9" fontId="3" fillId="5" borderId="9" xfId="1" applyFont="1" applyFill="1" applyBorder="1"/>
    <xf numFmtId="9" fontId="3" fillId="4" borderId="9" xfId="3" applyNumberFormat="1" applyFill="1" applyBorder="1"/>
    <xf numFmtId="0" fontId="2" fillId="4" borderId="11" xfId="0" applyFont="1" applyFill="1" applyBorder="1"/>
    <xf numFmtId="0" fontId="2" fillId="5" borderId="11" xfId="0" applyFont="1" applyFill="1" applyBorder="1"/>
    <xf numFmtId="0" fontId="2" fillId="3" borderId="6" xfId="0" applyFont="1" applyFill="1" applyBorder="1"/>
    <xf numFmtId="0" fontId="2" fillId="3" borderId="11" xfId="0" applyFont="1" applyFill="1" applyBorder="1"/>
    <xf numFmtId="0" fontId="6" fillId="0" borderId="0" xfId="3" applyFont="1"/>
    <xf numFmtId="0" fontId="6" fillId="0" borderId="3" xfId="3" applyFont="1" applyBorder="1"/>
    <xf numFmtId="0" fontId="7" fillId="0" borderId="3" xfId="0" applyFont="1" applyBorder="1"/>
    <xf numFmtId="0" fontId="7" fillId="0" borderId="0" xfId="0" applyFont="1"/>
    <xf numFmtId="0" fontId="6" fillId="4" borderId="3" xfId="3" applyFont="1" applyFill="1" applyBorder="1"/>
    <xf numFmtId="0" fontId="6" fillId="4" borderId="0" xfId="3" applyFont="1" applyFill="1"/>
    <xf numFmtId="0" fontId="6" fillId="5" borderId="3" xfId="3" applyFont="1" applyFill="1" applyBorder="1"/>
    <xf numFmtId="0" fontId="6" fillId="5" borderId="0" xfId="3" applyFont="1" applyFill="1"/>
    <xf numFmtId="0" fontId="6" fillId="3" borderId="0" xfId="3" applyFont="1" applyFill="1"/>
    <xf numFmtId="9" fontId="6" fillId="5" borderId="0" xfId="1" applyFont="1" applyFill="1" applyBorder="1"/>
    <xf numFmtId="0" fontId="6" fillId="5" borderId="9" xfId="1" applyNumberFormat="1" applyFont="1" applyFill="1" applyBorder="1"/>
    <xf numFmtId="9" fontId="6" fillId="3" borderId="0" xfId="1" applyFont="1" applyFill="1" applyBorder="1"/>
    <xf numFmtId="0" fontId="6" fillId="5" borderId="9" xfId="1" applyNumberFormat="1" applyFont="1" applyFill="1" applyBorder="1" applyAlignment="1">
      <alignment horizontal="right"/>
    </xf>
    <xf numFmtId="9" fontId="6" fillId="5" borderId="0" xfId="3" applyNumberFormat="1" applyFont="1" applyFill="1"/>
    <xf numFmtId="9" fontId="6" fillId="5" borderId="9" xfId="3" applyNumberFormat="1" applyFont="1" applyFill="1" applyBorder="1"/>
    <xf numFmtId="0" fontId="8" fillId="0" borderId="0" xfId="3" applyFont="1"/>
    <xf numFmtId="0" fontId="9" fillId="0" borderId="0" xfId="0" applyFont="1"/>
    <xf numFmtId="0" fontId="9" fillId="0" borderId="0" xfId="0" applyFont="1" applyAlignment="1">
      <alignment horizontal="right"/>
    </xf>
    <xf numFmtId="9" fontId="9" fillId="0" borderId="0" xfId="1" applyFont="1" applyFill="1" applyBorder="1" applyAlignment="1">
      <alignment horizontal="right"/>
    </xf>
    <xf numFmtId="0" fontId="6" fillId="0" borderId="13" xfId="3" applyFont="1" applyBorder="1"/>
    <xf numFmtId="9" fontId="6" fillId="4" borderId="0" xfId="3" applyNumberFormat="1" applyFont="1" applyFill="1"/>
    <xf numFmtId="0" fontId="8" fillId="2" borderId="1" xfId="3" applyFont="1" applyFill="1" applyBorder="1"/>
    <xf numFmtId="0" fontId="6" fillId="4" borderId="5" xfId="3" applyFont="1" applyFill="1" applyBorder="1"/>
    <xf numFmtId="0" fontId="8" fillId="2" borderId="6" xfId="3" applyFont="1" applyFill="1" applyBorder="1"/>
    <xf numFmtId="0" fontId="8" fillId="2" borderId="4" xfId="3" applyFont="1" applyFill="1" applyBorder="1"/>
    <xf numFmtId="0" fontId="8" fillId="0" borderId="1" xfId="3" applyFont="1" applyBorder="1"/>
    <xf numFmtId="0" fontId="8" fillId="4" borderId="2" xfId="3" applyFont="1" applyFill="1" applyBorder="1"/>
    <xf numFmtId="0" fontId="8" fillId="3" borderId="2" xfId="3" applyFont="1" applyFill="1" applyBorder="1"/>
    <xf numFmtId="0" fontId="9" fillId="3" borderId="5" xfId="0" applyFont="1" applyFill="1" applyBorder="1"/>
    <xf numFmtId="9" fontId="9" fillId="3" borderId="5" xfId="1" applyFont="1" applyFill="1" applyBorder="1"/>
    <xf numFmtId="9" fontId="9" fillId="0" borderId="0" xfId="1" applyFont="1" applyFill="1" applyBorder="1"/>
    <xf numFmtId="0" fontId="8" fillId="2" borderId="12" xfId="3" applyFont="1" applyFill="1" applyBorder="1"/>
    <xf numFmtId="0" fontId="9" fillId="5" borderId="7" xfId="0" applyFont="1" applyFill="1" applyBorder="1"/>
    <xf numFmtId="9" fontId="9" fillId="5" borderId="7" xfId="1" applyFont="1" applyFill="1" applyBorder="1"/>
    <xf numFmtId="0" fontId="8" fillId="2" borderId="13" xfId="3" applyFont="1" applyFill="1" applyBorder="1"/>
    <xf numFmtId="0" fontId="8" fillId="2" borderId="14" xfId="3" applyFont="1" applyFill="1" applyBorder="1"/>
    <xf numFmtId="0" fontId="8" fillId="2" borderId="2" xfId="3" applyFont="1" applyFill="1" applyBorder="1"/>
    <xf numFmtId="0" fontId="8" fillId="5" borderId="2" xfId="3" applyFont="1" applyFill="1" applyBorder="1"/>
    <xf numFmtId="0" fontId="10" fillId="0" borderId="0" xfId="0" applyFont="1"/>
    <xf numFmtId="0" fontId="7" fillId="0" borderId="1" xfId="0" applyFont="1" applyBorder="1"/>
    <xf numFmtId="0" fontId="7" fillId="4" borderId="2" xfId="0" applyFont="1" applyFill="1" applyBorder="1"/>
    <xf numFmtId="0" fontId="9" fillId="4" borderId="2" xfId="0" applyFont="1" applyFill="1" applyBorder="1"/>
    <xf numFmtId="9" fontId="9" fillId="4" borderId="2" xfId="1" applyFont="1" applyFill="1" applyBorder="1"/>
    <xf numFmtId="0" fontId="7" fillId="3" borderId="1" xfId="0" applyFont="1" applyFill="1" applyBorder="1"/>
    <xf numFmtId="0" fontId="9" fillId="3" borderId="2" xfId="0" applyFont="1" applyFill="1" applyBorder="1"/>
    <xf numFmtId="9" fontId="9" fillId="3" borderId="2" xfId="1" applyFont="1" applyFill="1" applyBorder="1"/>
    <xf numFmtId="0" fontId="9" fillId="2" borderId="1" xfId="0" applyFont="1" applyFill="1" applyBorder="1"/>
    <xf numFmtId="0" fontId="7" fillId="2" borderId="2" xfId="0" applyFont="1" applyFill="1" applyBorder="1"/>
    <xf numFmtId="0" fontId="9" fillId="5" borderId="1" xfId="0" applyFont="1" applyFill="1" applyBorder="1"/>
    <xf numFmtId="0" fontId="9" fillId="5" borderId="2" xfId="0" applyFont="1" applyFill="1" applyBorder="1" applyAlignment="1">
      <alignment horizontal="right"/>
    </xf>
    <xf numFmtId="9" fontId="9" fillId="5" borderId="2" xfId="1" applyFont="1" applyFill="1" applyBorder="1" applyAlignment="1">
      <alignment horizontal="right"/>
    </xf>
    <xf numFmtId="9" fontId="9" fillId="5" borderId="8" xfId="1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9" fontId="9" fillId="3" borderId="2" xfId="1" applyFont="1" applyFill="1" applyBorder="1" applyAlignment="1">
      <alignment horizontal="right"/>
    </xf>
    <xf numFmtId="0" fontId="7" fillId="4" borderId="3" xfId="0" applyFont="1" applyFill="1" applyBorder="1"/>
    <xf numFmtId="0" fontId="7" fillId="4" borderId="0" xfId="0" applyFont="1" applyFill="1"/>
    <xf numFmtId="0" fontId="7" fillId="4" borderId="9" xfId="0" applyFont="1" applyFill="1" applyBorder="1"/>
    <xf numFmtId="0" fontId="7" fillId="5" borderId="3" xfId="0" applyFont="1" applyFill="1" applyBorder="1"/>
    <xf numFmtId="0" fontId="7" fillId="5" borderId="0" xfId="0" applyFont="1" applyFill="1"/>
    <xf numFmtId="9" fontId="7" fillId="5" borderId="0" xfId="1" applyFont="1" applyFill="1" applyBorder="1"/>
    <xf numFmtId="0" fontId="7" fillId="5" borderId="9" xfId="1" applyNumberFormat="1" applyFont="1" applyFill="1" applyBorder="1"/>
    <xf numFmtId="0" fontId="7" fillId="3" borderId="0" xfId="0" applyFont="1" applyFill="1"/>
    <xf numFmtId="9" fontId="7" fillId="3" borderId="0" xfId="1" applyFont="1" applyFill="1" applyBorder="1"/>
    <xf numFmtId="0" fontId="7" fillId="3" borderId="9" xfId="0" applyFont="1" applyFill="1" applyBorder="1"/>
    <xf numFmtId="0" fontId="9" fillId="5" borderId="5" xfId="0" applyFont="1" applyFill="1" applyBorder="1"/>
    <xf numFmtId="9" fontId="7" fillId="0" borderId="0" xfId="1" applyFont="1" applyFill="1"/>
    <xf numFmtId="0" fontId="9" fillId="2" borderId="2" xfId="0" applyFont="1" applyFill="1" applyBorder="1"/>
    <xf numFmtId="0" fontId="7" fillId="3" borderId="2" xfId="0" applyFont="1" applyFill="1" applyBorder="1"/>
    <xf numFmtId="9" fontId="7" fillId="3" borderId="0" xfId="1" applyFont="1" applyFill="1"/>
    <xf numFmtId="0" fontId="7" fillId="4" borderId="1" xfId="0" applyFont="1" applyFill="1" applyBorder="1"/>
    <xf numFmtId="0" fontId="7" fillId="3" borderId="8" xfId="0" applyFont="1" applyFill="1" applyBorder="1"/>
    <xf numFmtId="9" fontId="7" fillId="3" borderId="9" xfId="1" applyFont="1" applyFill="1" applyBorder="1"/>
    <xf numFmtId="0" fontId="7" fillId="3" borderId="5" xfId="0" applyFont="1" applyFill="1" applyBorder="1"/>
    <xf numFmtId="9" fontId="7" fillId="3" borderId="5" xfId="1" applyFont="1" applyFill="1" applyBorder="1"/>
    <xf numFmtId="9" fontId="7" fillId="3" borderId="10" xfId="1" applyFont="1" applyFill="1" applyBorder="1"/>
    <xf numFmtId="0" fontId="9" fillId="4" borderId="7" xfId="0" applyFont="1" applyFill="1" applyBorder="1"/>
    <xf numFmtId="9" fontId="9" fillId="4" borderId="7" xfId="1" applyFont="1" applyFill="1" applyBorder="1"/>
    <xf numFmtId="0" fontId="9" fillId="3" borderId="7" xfId="0" applyFont="1" applyFill="1" applyBorder="1"/>
    <xf numFmtId="9" fontId="9" fillId="3" borderId="7" xfId="1" applyFont="1" applyFill="1" applyBorder="1"/>
    <xf numFmtId="0" fontId="9" fillId="4" borderId="5" xfId="0" applyFont="1" applyFill="1" applyBorder="1"/>
    <xf numFmtId="9" fontId="9" fillId="4" borderId="5" xfId="1" applyFont="1" applyFill="1" applyBorder="1"/>
    <xf numFmtId="9" fontId="7" fillId="0" borderId="0" xfId="1" applyFont="1" applyBorder="1"/>
    <xf numFmtId="9" fontId="7" fillId="0" borderId="0" xfId="1" applyFont="1" applyFill="1" applyBorder="1"/>
    <xf numFmtId="0" fontId="9" fillId="0" borderId="7" xfId="0" applyFont="1" applyBorder="1"/>
    <xf numFmtId="0" fontId="7" fillId="2" borderId="7" xfId="0" applyFont="1" applyFill="1" applyBorder="1"/>
    <xf numFmtId="0" fontId="7" fillId="2" borderId="0" xfId="0" applyFont="1" applyFill="1"/>
    <xf numFmtId="0" fontId="9" fillId="3" borderId="0" xfId="0" applyFont="1" applyFill="1"/>
    <xf numFmtId="0" fontId="9" fillId="5" borderId="0" xfId="0" applyFont="1" applyFill="1"/>
    <xf numFmtId="0" fontId="11" fillId="0" borderId="0" xfId="0" applyFont="1"/>
    <xf numFmtId="0" fontId="9" fillId="5" borderId="2" xfId="0" applyFont="1" applyFill="1" applyBorder="1"/>
    <xf numFmtId="9" fontId="7" fillId="4" borderId="0" xfId="0" applyNumberFormat="1" applyFont="1" applyFill="1"/>
    <xf numFmtId="9" fontId="9" fillId="5" borderId="2" xfId="1" applyFont="1" applyFill="1" applyBorder="1"/>
    <xf numFmtId="9" fontId="9" fillId="5" borderId="8" xfId="1" applyFont="1" applyFill="1" applyBorder="1"/>
    <xf numFmtId="9" fontId="8" fillId="4" borderId="2" xfId="3" applyNumberFormat="1" applyFont="1" applyFill="1" applyBorder="1"/>
    <xf numFmtId="0" fontId="8" fillId="4" borderId="8" xfId="3" applyFont="1" applyFill="1" applyBorder="1"/>
    <xf numFmtId="10" fontId="7" fillId="4" borderId="9" xfId="0" applyNumberFormat="1" applyFont="1" applyFill="1" applyBorder="1"/>
    <xf numFmtId="10" fontId="6" fillId="4" borderId="9" xfId="3" applyNumberFormat="1" applyFont="1" applyFill="1" applyBorder="1"/>
    <xf numFmtId="9" fontId="9" fillId="4" borderId="2" xfId="0" applyNumberFormat="1" applyFont="1" applyFill="1" applyBorder="1"/>
    <xf numFmtId="9" fontId="9" fillId="3" borderId="2" xfId="0" applyNumberFormat="1" applyFont="1" applyFill="1" applyBorder="1"/>
    <xf numFmtId="0" fontId="7" fillId="5" borderId="9" xfId="0" applyFont="1" applyFill="1" applyBorder="1"/>
    <xf numFmtId="0" fontId="9" fillId="4" borderId="6" xfId="0" applyFont="1" applyFill="1" applyBorder="1"/>
    <xf numFmtId="0" fontId="8" fillId="4" borderId="7" xfId="3" applyFont="1" applyFill="1" applyBorder="1"/>
    <xf numFmtId="9" fontId="8" fillId="4" borderId="7" xfId="3" applyNumberFormat="1" applyFont="1" applyFill="1" applyBorder="1"/>
    <xf numFmtId="0" fontId="8" fillId="4" borderId="5" xfId="3" applyFont="1" applyFill="1" applyBorder="1"/>
    <xf numFmtId="9" fontId="8" fillId="4" borderId="5" xfId="3" applyNumberFormat="1" applyFont="1" applyFill="1" applyBorder="1"/>
    <xf numFmtId="0" fontId="8" fillId="5" borderId="5" xfId="3" applyFont="1" applyFill="1" applyBorder="1"/>
    <xf numFmtId="9" fontId="6" fillId="5" borderId="9" xfId="1" applyFont="1" applyFill="1" applyBorder="1"/>
    <xf numFmtId="0" fontId="6" fillId="5" borderId="9" xfId="3" applyFont="1" applyFill="1" applyBorder="1"/>
    <xf numFmtId="9" fontId="7" fillId="5" borderId="9" xfId="1" applyFont="1" applyFill="1" applyBorder="1"/>
    <xf numFmtId="9" fontId="9" fillId="5" borderId="2" xfId="0" applyNumberFormat="1" applyFont="1" applyFill="1" applyBorder="1"/>
    <xf numFmtId="0" fontId="7" fillId="5" borderId="8" xfId="0" applyFont="1" applyFill="1" applyBorder="1"/>
    <xf numFmtId="0" fontId="9" fillId="4" borderId="8" xfId="0" applyFont="1" applyFill="1" applyBorder="1"/>
    <xf numFmtId="9" fontId="9" fillId="4" borderId="11" xfId="1" applyFont="1" applyFill="1" applyBorder="1"/>
    <xf numFmtId="0" fontId="6" fillId="5" borderId="4" xfId="3" applyFont="1" applyFill="1" applyBorder="1"/>
    <xf numFmtId="0" fontId="6" fillId="5" borderId="5" xfId="3" applyFont="1" applyFill="1" applyBorder="1"/>
    <xf numFmtId="0" fontId="6" fillId="5" borderId="10" xfId="3" applyFont="1" applyFill="1" applyBorder="1"/>
    <xf numFmtId="0" fontId="9" fillId="4" borderId="4" xfId="0" applyFont="1" applyFill="1" applyBorder="1"/>
    <xf numFmtId="9" fontId="9" fillId="4" borderId="10" xfId="1" applyFont="1" applyFill="1" applyBorder="1"/>
    <xf numFmtId="9" fontId="9" fillId="5" borderId="5" xfId="1" applyFont="1" applyFill="1" applyBorder="1"/>
    <xf numFmtId="0" fontId="8" fillId="2" borderId="7" xfId="3" applyFont="1" applyFill="1" applyBorder="1"/>
    <xf numFmtId="0" fontId="8" fillId="2" borderId="5" xfId="3" applyFont="1" applyFill="1" applyBorder="1"/>
    <xf numFmtId="0" fontId="2" fillId="6" borderId="7" xfId="0" applyFont="1" applyFill="1" applyBorder="1"/>
    <xf numFmtId="0" fontId="4" fillId="6" borderId="2" xfId="3" applyFont="1" applyFill="1" applyBorder="1"/>
    <xf numFmtId="0" fontId="3" fillId="6" borderId="0" xfId="3" applyFill="1"/>
    <xf numFmtId="0" fontId="3" fillId="6" borderId="5" xfId="3" applyFill="1" applyBorder="1"/>
    <xf numFmtId="0" fontId="2" fillId="8" borderId="6" xfId="0" applyFont="1" applyFill="1" applyBorder="1"/>
    <xf numFmtId="0" fontId="2" fillId="8" borderId="7" xfId="0" applyFont="1" applyFill="1" applyBorder="1"/>
    <xf numFmtId="0" fontId="2" fillId="8" borderId="11" xfId="0" applyFont="1" applyFill="1" applyBorder="1"/>
    <xf numFmtId="0" fontId="4" fillId="8" borderId="1" xfId="3" applyFont="1" applyFill="1" applyBorder="1"/>
    <xf numFmtId="0" fontId="4" fillId="8" borderId="2" xfId="3" applyFont="1" applyFill="1" applyBorder="1"/>
    <xf numFmtId="0" fontId="4" fillId="8" borderId="8" xfId="3" applyFont="1" applyFill="1" applyBorder="1"/>
    <xf numFmtId="0" fontId="4" fillId="8" borderId="3" xfId="3" applyFont="1" applyFill="1" applyBorder="1"/>
    <xf numFmtId="0" fontId="4" fillId="8" borderId="0" xfId="3" applyFont="1" applyFill="1"/>
    <xf numFmtId="0" fontId="4" fillId="8" borderId="9" xfId="3" applyFont="1" applyFill="1" applyBorder="1"/>
    <xf numFmtId="0" fontId="2" fillId="9" borderId="7" xfId="0" applyFont="1" applyFill="1" applyBorder="1"/>
    <xf numFmtId="0" fontId="2" fillId="9" borderId="2" xfId="0" applyFont="1" applyFill="1" applyBorder="1"/>
    <xf numFmtId="0" fontId="3" fillId="9" borderId="0" xfId="3" applyFill="1"/>
    <xf numFmtId="0" fontId="4" fillId="9" borderId="2" xfId="3" applyFont="1" applyFill="1" applyBorder="1"/>
    <xf numFmtId="9" fontId="4" fillId="9" borderId="2" xfId="3" applyNumberFormat="1" applyFont="1" applyFill="1" applyBorder="1"/>
    <xf numFmtId="0" fontId="0" fillId="3" borderId="11" xfId="0" applyFill="1" applyBorder="1"/>
    <xf numFmtId="0" fontId="4" fillId="3" borderId="1" xfId="3" applyFont="1" applyFill="1" applyBorder="1"/>
    <xf numFmtId="0" fontId="9" fillId="4" borderId="2" xfId="0" applyFont="1" applyFill="1" applyBorder="1" applyAlignment="1">
      <alignment horizontal="right"/>
    </xf>
    <xf numFmtId="0" fontId="9" fillId="4" borderId="10" xfId="0" applyFont="1" applyFill="1" applyBorder="1"/>
    <xf numFmtId="10" fontId="6" fillId="10" borderId="9" xfId="3" applyNumberFormat="1" applyFont="1" applyFill="1" applyBorder="1"/>
    <xf numFmtId="0" fontId="6" fillId="10" borderId="9" xfId="1" applyNumberFormat="1" applyFont="1" applyFill="1" applyBorder="1"/>
    <xf numFmtId="9" fontId="6" fillId="10" borderId="9" xfId="3" applyNumberFormat="1" applyFont="1" applyFill="1" applyBorder="1"/>
    <xf numFmtId="9" fontId="8" fillId="0" borderId="0" xfId="3" applyNumberFormat="1" applyFont="1"/>
    <xf numFmtId="0" fontId="9" fillId="0" borderId="2" xfId="0" applyFont="1" applyBorder="1"/>
    <xf numFmtId="0" fontId="9" fillId="0" borderId="1" xfId="0" applyFont="1" applyBorder="1"/>
    <xf numFmtId="0" fontId="9" fillId="0" borderId="8" xfId="0" applyFont="1" applyBorder="1"/>
    <xf numFmtId="0" fontId="8" fillId="0" borderId="2" xfId="3" applyFont="1" applyBorder="1"/>
    <xf numFmtId="0" fontId="8" fillId="0" borderId="8" xfId="3" applyFont="1" applyBorder="1"/>
    <xf numFmtId="0" fontId="9" fillId="0" borderId="3" xfId="0" applyFont="1" applyBorder="1"/>
    <xf numFmtId="0" fontId="9" fillId="3" borderId="16" xfId="0" applyFont="1" applyFill="1" applyBorder="1"/>
    <xf numFmtId="0" fontId="9" fillId="3" borderId="17" xfId="0" applyFont="1" applyFill="1" applyBorder="1" applyAlignment="1">
      <alignment horizontal="right"/>
    </xf>
    <xf numFmtId="0" fontId="9" fillId="4" borderId="0" xfId="0" applyFont="1" applyFill="1"/>
    <xf numFmtId="9" fontId="6" fillId="3" borderId="0" xfId="3" applyNumberFormat="1" applyFont="1" applyFill="1"/>
    <xf numFmtId="0" fontId="9" fillId="3" borderId="1" xfId="0" applyFont="1" applyFill="1" applyBorder="1"/>
    <xf numFmtId="0" fontId="8" fillId="3" borderId="8" xfId="3" applyFont="1" applyFill="1" applyBorder="1"/>
    <xf numFmtId="0" fontId="6" fillId="3" borderId="7" xfId="3" applyFont="1" applyFill="1" applyBorder="1"/>
    <xf numFmtId="0" fontId="6" fillId="3" borderId="4" xfId="3" applyFont="1" applyFill="1" applyBorder="1"/>
    <xf numFmtId="0" fontId="6" fillId="3" borderId="5" xfId="3" applyFont="1" applyFill="1" applyBorder="1"/>
    <xf numFmtId="9" fontId="6" fillId="3" borderId="5" xfId="3" applyNumberFormat="1" applyFont="1" applyFill="1" applyBorder="1"/>
    <xf numFmtId="0" fontId="6" fillId="3" borderId="10" xfId="3" applyFont="1" applyFill="1" applyBorder="1"/>
    <xf numFmtId="0" fontId="9" fillId="3" borderId="8" xfId="0" applyFont="1" applyFill="1" applyBorder="1"/>
    <xf numFmtId="0" fontId="9" fillId="3" borderId="4" xfId="0" applyFont="1" applyFill="1" applyBorder="1"/>
    <xf numFmtId="0" fontId="9" fillId="3" borderId="10" xfId="0" applyFont="1" applyFill="1" applyBorder="1"/>
    <xf numFmtId="0" fontId="7" fillId="3" borderId="3" xfId="0" applyFont="1" applyFill="1" applyBorder="1"/>
    <xf numFmtId="9" fontId="7" fillId="3" borderId="0" xfId="0" applyNumberFormat="1" applyFont="1" applyFill="1"/>
    <xf numFmtId="10" fontId="7" fillId="3" borderId="9" xfId="0" applyNumberFormat="1" applyFont="1" applyFill="1" applyBorder="1"/>
    <xf numFmtId="0" fontId="6" fillId="3" borderId="3" xfId="3" applyFont="1" applyFill="1" applyBorder="1"/>
    <xf numFmtId="10" fontId="6" fillId="3" borderId="9" xfId="3" applyNumberFormat="1" applyFont="1" applyFill="1" applyBorder="1"/>
    <xf numFmtId="9" fontId="6" fillId="3" borderId="9" xfId="3" applyNumberFormat="1" applyFont="1" applyFill="1" applyBorder="1"/>
    <xf numFmtId="10" fontId="6" fillId="3" borderId="0" xfId="3" applyNumberFormat="1" applyFont="1" applyFill="1"/>
    <xf numFmtId="0" fontId="8" fillId="3" borderId="1" xfId="3" applyFont="1" applyFill="1" applyBorder="1"/>
    <xf numFmtId="9" fontId="8" fillId="3" borderId="2" xfId="3" applyNumberFormat="1" applyFont="1" applyFill="1" applyBorder="1"/>
    <xf numFmtId="0" fontId="8" fillId="3" borderId="7" xfId="3" applyFont="1" applyFill="1" applyBorder="1"/>
    <xf numFmtId="0" fontId="8" fillId="3" borderId="5" xfId="3" applyFont="1" applyFill="1" applyBorder="1"/>
    <xf numFmtId="0" fontId="6" fillId="3" borderId="9" xfId="3" applyFont="1" applyFill="1" applyBorder="1"/>
    <xf numFmtId="0" fontId="8" fillId="3" borderId="11" xfId="3" applyFont="1" applyFill="1" applyBorder="1"/>
    <xf numFmtId="0" fontId="8" fillId="3" borderId="10" xfId="3" applyFont="1" applyFill="1" applyBorder="1"/>
    <xf numFmtId="0" fontId="7" fillId="2" borderId="15" xfId="0" applyFont="1" applyFill="1" applyBorder="1"/>
    <xf numFmtId="0" fontId="7" fillId="3" borderId="7" xfId="0" applyFont="1" applyFill="1" applyBorder="1"/>
    <xf numFmtId="0" fontId="7" fillId="4" borderId="7" xfId="0" applyFont="1" applyFill="1" applyBorder="1"/>
    <xf numFmtId="0" fontId="7" fillId="4" borderId="11" xfId="0" applyFont="1" applyFill="1" applyBorder="1"/>
    <xf numFmtId="0" fontId="9" fillId="4" borderId="3" xfId="0" applyFont="1" applyFill="1" applyBorder="1"/>
    <xf numFmtId="0" fontId="7" fillId="4" borderId="5" xfId="0" applyFont="1" applyFill="1" applyBorder="1"/>
    <xf numFmtId="0" fontId="7" fillId="4" borderId="10" xfId="0" applyFont="1" applyFill="1" applyBorder="1"/>
    <xf numFmtId="0" fontId="3" fillId="7" borderId="0" xfId="3" applyFill="1"/>
    <xf numFmtId="0" fontId="3" fillId="9" borderId="6" xfId="3" applyFill="1" applyBorder="1"/>
    <xf numFmtId="0" fontId="3" fillId="9" borderId="7" xfId="3" applyFill="1" applyBorder="1"/>
    <xf numFmtId="9" fontId="3" fillId="9" borderId="11" xfId="3" applyNumberFormat="1" applyFill="1" applyBorder="1"/>
    <xf numFmtId="0" fontId="3" fillId="9" borderId="3" xfId="3" applyFill="1" applyBorder="1"/>
    <xf numFmtId="9" fontId="3" fillId="9" borderId="9" xfId="3" applyNumberFormat="1" applyFill="1" applyBorder="1"/>
    <xf numFmtId="0" fontId="3" fillId="9" borderId="4" xfId="3" applyFill="1" applyBorder="1"/>
    <xf numFmtId="0" fontId="3" fillId="9" borderId="5" xfId="3" applyFill="1" applyBorder="1"/>
    <xf numFmtId="9" fontId="3" fillId="9" borderId="10" xfId="3" applyNumberFormat="1" applyFill="1" applyBorder="1"/>
    <xf numFmtId="0" fontId="2" fillId="3" borderId="8" xfId="0" applyFont="1" applyFill="1" applyBorder="1"/>
    <xf numFmtId="0" fontId="3" fillId="3" borderId="6" xfId="3" applyFill="1" applyBorder="1"/>
    <xf numFmtId="0" fontId="3" fillId="3" borderId="7" xfId="3" applyFill="1" applyBorder="1"/>
    <xf numFmtId="9" fontId="3" fillId="3" borderId="11" xfId="3" applyNumberFormat="1" applyFill="1" applyBorder="1"/>
    <xf numFmtId="9" fontId="3" fillId="3" borderId="9" xfId="3" applyNumberFormat="1" applyFill="1" applyBorder="1"/>
    <xf numFmtId="0" fontId="3" fillId="3" borderId="4" xfId="3" applyFill="1" applyBorder="1"/>
    <xf numFmtId="0" fontId="3" fillId="3" borderId="5" xfId="3" applyFill="1" applyBorder="1"/>
    <xf numFmtId="9" fontId="3" fillId="3" borderId="10" xfId="3" applyNumberFormat="1" applyFill="1" applyBorder="1"/>
    <xf numFmtId="9" fontId="4" fillId="3" borderId="2" xfId="3" applyNumberFormat="1" applyFont="1" applyFill="1" applyBorder="1"/>
    <xf numFmtId="0" fontId="4" fillId="3" borderId="8" xfId="3" applyFont="1" applyFill="1" applyBorder="1"/>
    <xf numFmtId="9" fontId="4" fillId="3" borderId="8" xfId="3" applyNumberFormat="1" applyFont="1" applyFill="1" applyBorder="1"/>
    <xf numFmtId="9" fontId="3" fillId="6" borderId="0" xfId="3" applyNumberFormat="1" applyFill="1"/>
    <xf numFmtId="9" fontId="4" fillId="6" borderId="2" xfId="3" applyNumberFormat="1" applyFont="1" applyFill="1" applyBorder="1"/>
    <xf numFmtId="9" fontId="8" fillId="3" borderId="7" xfId="3" applyNumberFormat="1" applyFont="1" applyFill="1" applyBorder="1"/>
    <xf numFmtId="9" fontId="8" fillId="3" borderId="5" xfId="3" applyNumberFormat="1" applyFont="1" applyFill="1" applyBorder="1"/>
    <xf numFmtId="9" fontId="9" fillId="4" borderId="2" xfId="1" applyFont="1" applyFill="1" applyBorder="1" applyAlignment="1">
      <alignment horizontal="right"/>
    </xf>
    <xf numFmtId="0" fontId="6" fillId="4" borderId="0" xfId="0" applyFont="1" applyFill="1"/>
    <xf numFmtId="0" fontId="7" fillId="10" borderId="0" xfId="0" applyFont="1" applyFill="1"/>
    <xf numFmtId="0" fontId="6" fillId="3" borderId="0" xfId="0" applyFont="1" applyFill="1"/>
    <xf numFmtId="0" fontId="7" fillId="4" borderId="6" xfId="0" applyFont="1" applyFill="1" applyBorder="1"/>
    <xf numFmtId="9" fontId="7" fillId="4" borderId="7" xfId="0" applyNumberFormat="1" applyFont="1" applyFill="1" applyBorder="1"/>
    <xf numFmtId="0" fontId="6" fillId="4" borderId="3" xfId="0" applyFont="1" applyFill="1" applyBorder="1"/>
    <xf numFmtId="0" fontId="7" fillId="4" borderId="4" xfId="0" applyFont="1" applyFill="1" applyBorder="1"/>
    <xf numFmtId="9" fontId="7" fillId="4" borderId="5" xfId="0" applyNumberFormat="1" applyFont="1" applyFill="1" applyBorder="1"/>
    <xf numFmtId="0" fontId="7" fillId="4" borderId="8" xfId="0" applyFont="1" applyFill="1" applyBorder="1"/>
    <xf numFmtId="0" fontId="9" fillId="4" borderId="1" xfId="0" applyFont="1" applyFill="1" applyBorder="1"/>
    <xf numFmtId="9" fontId="9" fillId="4" borderId="8" xfId="1" applyFont="1" applyFill="1" applyBorder="1" applyAlignment="1">
      <alignment horizontal="right"/>
    </xf>
    <xf numFmtId="1" fontId="6" fillId="4" borderId="3" xfId="1" applyNumberFormat="1" applyFont="1" applyFill="1" applyBorder="1"/>
    <xf numFmtId="1" fontId="6" fillId="4" borderId="0" xfId="1" applyNumberFormat="1" applyFont="1" applyFill="1" applyBorder="1"/>
    <xf numFmtId="9" fontId="6" fillId="4" borderId="0" xfId="1" applyFont="1" applyFill="1" applyBorder="1"/>
    <xf numFmtId="9" fontId="6" fillId="4" borderId="9" xfId="1" applyFont="1" applyFill="1" applyBorder="1"/>
    <xf numFmtId="1" fontId="7" fillId="4" borderId="3" xfId="1" applyNumberFormat="1" applyFont="1" applyFill="1" applyBorder="1"/>
    <xf numFmtId="1" fontId="7" fillId="4" borderId="0" xfId="1" applyNumberFormat="1" applyFont="1" applyFill="1" applyBorder="1"/>
    <xf numFmtId="9" fontId="7" fillId="4" borderId="9" xfId="1" applyFont="1" applyFill="1" applyBorder="1"/>
    <xf numFmtId="1" fontId="7" fillId="4" borderId="4" xfId="1" applyNumberFormat="1" applyFont="1" applyFill="1" applyBorder="1"/>
    <xf numFmtId="1" fontId="7" fillId="4" borderId="5" xfId="1" applyNumberFormat="1" applyFont="1" applyFill="1" applyBorder="1"/>
    <xf numFmtId="9" fontId="6" fillId="4" borderId="5" xfId="1" applyFont="1" applyFill="1" applyBorder="1"/>
    <xf numFmtId="9" fontId="7" fillId="4" borderId="10" xfId="1" applyFont="1" applyFill="1" applyBorder="1"/>
    <xf numFmtId="1" fontId="7" fillId="4" borderId="1" xfId="0" applyNumberFormat="1" applyFont="1" applyFill="1" applyBorder="1"/>
    <xf numFmtId="1" fontId="7" fillId="4" borderId="2" xfId="0" applyNumberFormat="1" applyFont="1" applyFill="1" applyBorder="1"/>
    <xf numFmtId="9" fontId="6" fillId="4" borderId="2" xfId="1" applyFont="1" applyFill="1" applyBorder="1"/>
    <xf numFmtId="1" fontId="9" fillId="4" borderId="1" xfId="1" applyNumberFormat="1" applyFont="1" applyFill="1" applyBorder="1"/>
    <xf numFmtId="1" fontId="9" fillId="4" borderId="2" xfId="1" applyNumberFormat="1" applyFont="1" applyFill="1" applyBorder="1"/>
    <xf numFmtId="9" fontId="9" fillId="4" borderId="8" xfId="1" applyFont="1" applyFill="1" applyBorder="1"/>
    <xf numFmtId="9" fontId="7" fillId="4" borderId="9" xfId="0" applyNumberFormat="1" applyFont="1" applyFill="1" applyBorder="1"/>
    <xf numFmtId="9" fontId="7" fillId="4" borderId="10" xfId="0" applyNumberFormat="1" applyFont="1" applyFill="1" applyBorder="1"/>
    <xf numFmtId="9" fontId="7" fillId="10" borderId="11" xfId="0" applyNumberFormat="1" applyFont="1" applyFill="1" applyBorder="1"/>
    <xf numFmtId="9" fontId="7" fillId="10" borderId="9" xfId="0" applyNumberFormat="1" applyFont="1" applyFill="1" applyBorder="1"/>
    <xf numFmtId="9" fontId="6" fillId="10" borderId="9" xfId="0" applyNumberFormat="1" applyFont="1" applyFill="1" applyBorder="1"/>
    <xf numFmtId="9" fontId="8" fillId="4" borderId="8" xfId="3" applyNumberFormat="1" applyFont="1" applyFill="1" applyBorder="1"/>
    <xf numFmtId="1" fontId="9" fillId="4" borderId="6" xfId="1" applyNumberFormat="1" applyFont="1" applyFill="1" applyBorder="1"/>
    <xf numFmtId="1" fontId="9" fillId="4" borderId="4" xfId="1" applyNumberFormat="1" applyFont="1" applyFill="1" applyBorder="1"/>
    <xf numFmtId="1" fontId="9" fillId="4" borderId="7" xfId="1" applyNumberFormat="1" applyFont="1" applyFill="1" applyBorder="1"/>
    <xf numFmtId="1" fontId="9" fillId="4" borderId="5" xfId="1" applyNumberFormat="1" applyFont="1" applyFill="1" applyBorder="1"/>
    <xf numFmtId="0" fontId="9" fillId="5" borderId="8" xfId="0" applyFont="1" applyFill="1" applyBorder="1"/>
    <xf numFmtId="9" fontId="9" fillId="4" borderId="8" xfId="0" applyNumberFormat="1" applyFont="1" applyFill="1" applyBorder="1"/>
    <xf numFmtId="1" fontId="9" fillId="3" borderId="8" xfId="0" applyNumberFormat="1" applyFont="1" applyFill="1" applyBorder="1"/>
    <xf numFmtId="9" fontId="8" fillId="3" borderId="8" xfId="3" applyNumberFormat="1" applyFont="1" applyFill="1" applyBorder="1"/>
    <xf numFmtId="0" fontId="2" fillId="5" borderId="8" xfId="0" applyFont="1" applyFill="1" applyBorder="1"/>
    <xf numFmtId="0" fontId="3" fillId="5" borderId="6" xfId="3" applyFill="1" applyBorder="1"/>
    <xf numFmtId="0" fontId="3" fillId="5" borderId="7" xfId="3" applyFill="1" applyBorder="1"/>
    <xf numFmtId="9" fontId="3" fillId="5" borderId="11" xfId="3" applyNumberFormat="1" applyFill="1" applyBorder="1"/>
    <xf numFmtId="9" fontId="3" fillId="5" borderId="9" xfId="3" applyNumberFormat="1" applyFill="1" applyBorder="1"/>
    <xf numFmtId="0" fontId="3" fillId="5" borderId="4" xfId="3" applyFill="1" applyBorder="1"/>
    <xf numFmtId="9" fontId="3" fillId="5" borderId="10" xfId="3" applyNumberFormat="1" applyFill="1" applyBorder="1"/>
    <xf numFmtId="9" fontId="4" fillId="5" borderId="2" xfId="3" applyNumberFormat="1" applyFont="1" applyFill="1" applyBorder="1"/>
    <xf numFmtId="0" fontId="4" fillId="5" borderId="8" xfId="3" applyFont="1" applyFill="1" applyBorder="1"/>
    <xf numFmtId="9" fontId="2" fillId="5" borderId="8" xfId="0" applyNumberFormat="1" applyFont="1" applyFill="1" applyBorder="1"/>
    <xf numFmtId="9" fontId="2" fillId="3" borderId="8" xfId="0" applyNumberFormat="1" applyFont="1" applyFill="1" applyBorder="1"/>
    <xf numFmtId="0" fontId="2" fillId="8" borderId="1" xfId="0" applyFont="1" applyFill="1" applyBorder="1"/>
    <xf numFmtId="0" fontId="2" fillId="8" borderId="2" xfId="0" applyFont="1" applyFill="1" applyBorder="1"/>
    <xf numFmtId="0" fontId="2" fillId="8" borderId="8" xfId="0" applyFont="1" applyFill="1" applyBorder="1"/>
    <xf numFmtId="0" fontId="2" fillId="4" borderId="8" xfId="0" applyFont="1" applyFill="1" applyBorder="1"/>
    <xf numFmtId="9" fontId="2" fillId="5" borderId="8" xfId="1" applyFont="1" applyFill="1" applyBorder="1"/>
    <xf numFmtId="0" fontId="7" fillId="5" borderId="1" xfId="0" applyFont="1" applyFill="1" applyBorder="1"/>
    <xf numFmtId="0" fontId="9" fillId="5" borderId="4" xfId="0" applyFont="1" applyFill="1" applyBorder="1"/>
    <xf numFmtId="0" fontId="9" fillId="5" borderId="10" xfId="0" applyFont="1" applyFill="1" applyBorder="1"/>
    <xf numFmtId="9" fontId="7" fillId="5" borderId="0" xfId="0" applyNumberFormat="1" applyFont="1" applyFill="1"/>
    <xf numFmtId="10" fontId="7" fillId="5" borderId="9" xfId="0" applyNumberFormat="1" applyFont="1" applyFill="1" applyBorder="1"/>
    <xf numFmtId="10" fontId="6" fillId="5" borderId="9" xfId="3" applyNumberFormat="1" applyFont="1" applyFill="1" applyBorder="1"/>
    <xf numFmtId="0" fontId="8" fillId="5" borderId="1" xfId="3" applyFont="1" applyFill="1" applyBorder="1"/>
    <xf numFmtId="9" fontId="8" fillId="5" borderId="2" xfId="3" applyNumberFormat="1" applyFont="1" applyFill="1" applyBorder="1"/>
    <xf numFmtId="9" fontId="8" fillId="5" borderId="8" xfId="3" applyNumberFormat="1" applyFont="1" applyFill="1" applyBorder="1"/>
    <xf numFmtId="0" fontId="8" fillId="5" borderId="6" xfId="3" applyFont="1" applyFill="1" applyBorder="1"/>
    <xf numFmtId="0" fontId="8" fillId="5" borderId="7" xfId="3" applyFont="1" applyFill="1" applyBorder="1"/>
    <xf numFmtId="9" fontId="8" fillId="5" borderId="7" xfId="3" applyNumberFormat="1" applyFont="1" applyFill="1" applyBorder="1"/>
    <xf numFmtId="0" fontId="8" fillId="5" borderId="11" xfId="3" applyFont="1" applyFill="1" applyBorder="1"/>
    <xf numFmtId="0" fontId="8" fillId="5" borderId="4" xfId="3" applyFont="1" applyFill="1" applyBorder="1"/>
    <xf numFmtId="9" fontId="8" fillId="5" borderId="5" xfId="3" applyNumberFormat="1" applyFont="1" applyFill="1" applyBorder="1"/>
    <xf numFmtId="0" fontId="8" fillId="5" borderId="10" xfId="3" applyFont="1" applyFill="1" applyBorder="1"/>
    <xf numFmtId="0" fontId="7" fillId="5" borderId="7" xfId="0" applyFont="1" applyFill="1" applyBorder="1"/>
    <xf numFmtId="0" fontId="9" fillId="3" borderId="6" xfId="0" applyFont="1" applyFill="1" applyBorder="1"/>
    <xf numFmtId="0" fontId="7" fillId="3" borderId="11" xfId="0" applyFont="1" applyFill="1" applyBorder="1"/>
    <xf numFmtId="0" fontId="9" fillId="5" borderId="7" xfId="0" applyFont="1" applyFill="1" applyBorder="1" applyAlignment="1">
      <alignment horizontal="right"/>
    </xf>
    <xf numFmtId="9" fontId="9" fillId="5" borderId="7" xfId="1" applyFont="1" applyFill="1" applyBorder="1" applyAlignment="1">
      <alignment horizontal="right"/>
    </xf>
    <xf numFmtId="0" fontId="9" fillId="3" borderId="0" xfId="0" applyFont="1" applyFill="1" applyAlignment="1">
      <alignment horizontal="right"/>
    </xf>
    <xf numFmtId="9" fontId="9" fillId="3" borderId="0" xfId="1" applyFont="1" applyFill="1" applyBorder="1" applyAlignment="1">
      <alignment horizontal="right"/>
    </xf>
    <xf numFmtId="0" fontId="9" fillId="4" borderId="7" xfId="0" applyFont="1" applyFill="1" applyBorder="1" applyAlignment="1">
      <alignment horizontal="right"/>
    </xf>
    <xf numFmtId="9" fontId="9" fillId="4" borderId="7" xfId="1" applyFont="1" applyFill="1" applyBorder="1" applyAlignment="1">
      <alignment horizontal="right"/>
    </xf>
    <xf numFmtId="9" fontId="9" fillId="4" borderId="11" xfId="1" applyFont="1" applyFill="1" applyBorder="1" applyAlignment="1">
      <alignment horizontal="right"/>
    </xf>
    <xf numFmtId="0" fontId="9" fillId="3" borderId="7" xfId="0" applyFont="1" applyFill="1" applyBorder="1" applyAlignment="1">
      <alignment horizontal="right"/>
    </xf>
    <xf numFmtId="9" fontId="9" fillId="3" borderId="7" xfId="1" applyFont="1" applyFill="1" applyBorder="1" applyAlignment="1">
      <alignment horizontal="right"/>
    </xf>
    <xf numFmtId="0" fontId="9" fillId="5" borderId="0" xfId="0" applyFont="1" applyFill="1" applyAlignment="1">
      <alignment horizontal="right"/>
    </xf>
    <xf numFmtId="9" fontId="9" fillId="5" borderId="0" xfId="1" applyFont="1" applyFill="1" applyBorder="1" applyAlignment="1">
      <alignment horizontal="right"/>
    </xf>
    <xf numFmtId="0" fontId="9" fillId="4" borderId="0" xfId="0" applyFont="1" applyFill="1" applyAlignment="1">
      <alignment horizontal="right"/>
    </xf>
    <xf numFmtId="9" fontId="9" fillId="4" borderId="0" xfId="1" applyFont="1" applyFill="1" applyBorder="1" applyAlignment="1">
      <alignment horizontal="right"/>
    </xf>
    <xf numFmtId="0" fontId="9" fillId="3" borderId="3" xfId="0" applyFont="1" applyFill="1" applyBorder="1"/>
    <xf numFmtId="0" fontId="9" fillId="4" borderId="11" xfId="0" applyFont="1" applyFill="1" applyBorder="1"/>
    <xf numFmtId="0" fontId="9" fillId="4" borderId="9" xfId="0" applyFont="1" applyFill="1" applyBorder="1"/>
    <xf numFmtId="0" fontId="6" fillId="4" borderId="9" xfId="3" applyFont="1" applyFill="1" applyBorder="1"/>
    <xf numFmtId="0" fontId="6" fillId="4" borderId="4" xfId="3" applyFont="1" applyFill="1" applyBorder="1"/>
    <xf numFmtId="0" fontId="6" fillId="4" borderId="10" xfId="3" applyFont="1" applyFill="1" applyBorder="1"/>
    <xf numFmtId="9" fontId="9" fillId="3" borderId="11" xfId="1" applyFont="1" applyFill="1" applyBorder="1" applyAlignment="1">
      <alignment horizontal="right"/>
    </xf>
    <xf numFmtId="9" fontId="9" fillId="3" borderId="9" xfId="1" applyFont="1" applyFill="1" applyBorder="1" applyAlignment="1">
      <alignment horizontal="right"/>
    </xf>
    <xf numFmtId="9" fontId="6" fillId="3" borderId="9" xfId="1" applyFont="1" applyFill="1" applyBorder="1"/>
    <xf numFmtId="9" fontId="9" fillId="4" borderId="9" xfId="1" applyFont="1" applyFill="1" applyBorder="1" applyAlignment="1">
      <alignment horizontal="right"/>
    </xf>
    <xf numFmtId="0" fontId="8" fillId="4" borderId="1" xfId="3" applyFont="1" applyFill="1" applyBorder="1"/>
    <xf numFmtId="9" fontId="7" fillId="5" borderId="9" xfId="0" applyNumberFormat="1" applyFont="1" applyFill="1" applyBorder="1"/>
    <xf numFmtId="10" fontId="6" fillId="10" borderId="0" xfId="3" applyNumberFormat="1" applyFont="1" applyFill="1"/>
    <xf numFmtId="0" fontId="3" fillId="0" borderId="5" xfId="3" applyBorder="1"/>
    <xf numFmtId="0" fontId="8" fillId="4" borderId="0" xfId="3" applyFont="1" applyFill="1"/>
    <xf numFmtId="0" fontId="9" fillId="5" borderId="3" xfId="0" applyFont="1" applyFill="1" applyBorder="1"/>
    <xf numFmtId="9" fontId="9" fillId="5" borderId="9" xfId="1" applyFont="1" applyFill="1" applyBorder="1"/>
    <xf numFmtId="0" fontId="6" fillId="0" borderId="1" xfId="3" applyFont="1" applyBorder="1"/>
    <xf numFmtId="0" fontId="7" fillId="0" borderId="6" xfId="0" applyFont="1" applyBorder="1"/>
    <xf numFmtId="0" fontId="7" fillId="0" borderId="11" xfId="0" applyFont="1" applyBorder="1"/>
    <xf numFmtId="0" fontId="7" fillId="0" borderId="9" xfId="0" applyFont="1" applyBorder="1"/>
    <xf numFmtId="0" fontId="6" fillId="0" borderId="9" xfId="3" applyFont="1" applyBorder="1"/>
    <xf numFmtId="0" fontId="7" fillId="0" borderId="4" xfId="0" applyFont="1" applyBorder="1"/>
    <xf numFmtId="0" fontId="6" fillId="0" borderId="10" xfId="3" applyFont="1" applyBorder="1"/>
    <xf numFmtId="0" fontId="6" fillId="0" borderId="12" xfId="3" applyFont="1" applyBorder="1"/>
    <xf numFmtId="0" fontId="6" fillId="0" borderId="14" xfId="3" applyFont="1" applyBorder="1"/>
    <xf numFmtId="9" fontId="8" fillId="2" borderId="12" xfId="3" applyNumberFormat="1" applyFont="1" applyFill="1" applyBorder="1"/>
    <xf numFmtId="9" fontId="8" fillId="2" borderId="14" xfId="3" applyNumberFormat="1" applyFont="1" applyFill="1" applyBorder="1"/>
    <xf numFmtId="0" fontId="3" fillId="0" borderId="6" xfId="3" applyBorder="1"/>
    <xf numFmtId="0" fontId="3" fillId="0" borderId="7" xfId="3" applyBorder="1"/>
    <xf numFmtId="10" fontId="7" fillId="4" borderId="0" xfId="0" applyNumberFormat="1" applyFont="1" applyFill="1"/>
    <xf numFmtId="10" fontId="6" fillId="4" borderId="0" xfId="3" applyNumberFormat="1" applyFont="1" applyFill="1"/>
    <xf numFmtId="9" fontId="7" fillId="4" borderId="2" xfId="0" applyNumberFormat="1" applyFont="1" applyFill="1" applyBorder="1"/>
    <xf numFmtId="0" fontId="6" fillId="4" borderId="6" xfId="3" applyFont="1" applyFill="1" applyBorder="1"/>
    <xf numFmtId="10" fontId="6" fillId="11" borderId="0" xfId="3" applyNumberFormat="1" applyFont="1" applyFill="1"/>
    <xf numFmtId="10" fontId="8" fillId="4" borderId="8" xfId="3" applyNumberFormat="1" applyFont="1" applyFill="1" applyBorder="1"/>
    <xf numFmtId="9" fontId="7" fillId="2" borderId="7" xfId="0" applyNumberFormat="1" applyFont="1" applyFill="1" applyBorder="1"/>
    <xf numFmtId="0" fontId="6" fillId="4" borderId="7" xfId="3" applyFont="1" applyFill="1" applyBorder="1"/>
    <xf numFmtId="9" fontId="6" fillId="4" borderId="7" xfId="3" applyNumberFormat="1" applyFont="1" applyFill="1" applyBorder="1"/>
    <xf numFmtId="0" fontId="6" fillId="4" borderId="11" xfId="3" applyFont="1" applyFill="1" applyBorder="1"/>
    <xf numFmtId="9" fontId="6" fillId="4" borderId="5" xfId="3" applyNumberFormat="1" applyFont="1" applyFill="1" applyBorder="1"/>
    <xf numFmtId="0" fontId="8" fillId="4" borderId="11" xfId="3" applyFont="1" applyFill="1" applyBorder="1"/>
    <xf numFmtId="0" fontId="8" fillId="4" borderId="4" xfId="3" applyFont="1" applyFill="1" applyBorder="1"/>
    <xf numFmtId="0" fontId="8" fillId="4" borderId="10" xfId="3" applyFont="1" applyFill="1" applyBorder="1"/>
    <xf numFmtId="0" fontId="7" fillId="5" borderId="6" xfId="0" applyFont="1" applyFill="1" applyBorder="1"/>
    <xf numFmtId="0" fontId="7" fillId="5" borderId="11" xfId="0" applyFont="1" applyFill="1" applyBorder="1"/>
    <xf numFmtId="0" fontId="7" fillId="5" borderId="4" xfId="0" applyFont="1" applyFill="1" applyBorder="1"/>
    <xf numFmtId="0" fontId="7" fillId="5" borderId="5" xfId="0" applyFont="1" applyFill="1" applyBorder="1"/>
    <xf numFmtId="0" fontId="7" fillId="5" borderId="10" xfId="0" applyFont="1" applyFill="1" applyBorder="1"/>
    <xf numFmtId="0" fontId="6" fillId="0" borderId="6" xfId="3" applyFont="1" applyBorder="1"/>
    <xf numFmtId="0" fontId="6" fillId="0" borderId="4" xfId="3" applyFont="1" applyBorder="1"/>
    <xf numFmtId="0" fontId="8" fillId="5" borderId="0" xfId="3" applyFont="1" applyFill="1"/>
    <xf numFmtId="0" fontId="8" fillId="3" borderId="0" xfId="3" applyFont="1" applyFill="1"/>
    <xf numFmtId="0" fontId="8" fillId="4" borderId="3" xfId="3" applyFont="1" applyFill="1" applyBorder="1"/>
    <xf numFmtId="0" fontId="8" fillId="4" borderId="9" xfId="3" applyFont="1" applyFill="1" applyBorder="1"/>
    <xf numFmtId="0" fontId="8" fillId="5" borderId="3" xfId="3" applyFont="1" applyFill="1" applyBorder="1"/>
    <xf numFmtId="0" fontId="8" fillId="5" borderId="9" xfId="3" applyFont="1" applyFill="1" applyBorder="1"/>
    <xf numFmtId="0" fontId="8" fillId="3" borderId="6" xfId="3" applyFont="1" applyFill="1" applyBorder="1"/>
    <xf numFmtId="0" fontId="8" fillId="3" borderId="3" xfId="3" applyFont="1" applyFill="1" applyBorder="1"/>
    <xf numFmtId="0" fontId="8" fillId="3" borderId="9" xfId="3" applyFont="1" applyFill="1" applyBorder="1"/>
    <xf numFmtId="0" fontId="9" fillId="5" borderId="11" xfId="0" applyFont="1" applyFill="1" applyBorder="1"/>
    <xf numFmtId="0" fontId="9" fillId="5" borderId="9" xfId="0" applyFont="1" applyFill="1" applyBorder="1"/>
    <xf numFmtId="0" fontId="9" fillId="5" borderId="6" xfId="0" applyFont="1" applyFill="1" applyBorder="1"/>
    <xf numFmtId="0" fontId="8" fillId="2" borderId="11" xfId="3" applyFont="1" applyFill="1" applyBorder="1"/>
    <xf numFmtId="0" fontId="8" fillId="2" borderId="10" xfId="3" applyFont="1" applyFill="1" applyBorder="1"/>
    <xf numFmtId="0" fontId="7" fillId="2" borderId="6" xfId="0" applyFont="1" applyFill="1" applyBorder="1"/>
    <xf numFmtId="0" fontId="7" fillId="2" borderId="11" xfId="0" applyFont="1" applyFill="1" applyBorder="1"/>
    <xf numFmtId="0" fontId="7" fillId="2" borderId="3" xfId="0" applyFont="1" applyFill="1" applyBorder="1"/>
    <xf numFmtId="9" fontId="7" fillId="2" borderId="0" xfId="0" applyNumberFormat="1" applyFont="1" applyFill="1"/>
    <xf numFmtId="0" fontId="7" fillId="2" borderId="9" xfId="0" applyFont="1" applyFill="1" applyBorder="1"/>
    <xf numFmtId="0" fontId="7" fillId="2" borderId="4" xfId="0" applyFont="1" applyFill="1" applyBorder="1"/>
    <xf numFmtId="0" fontId="7" fillId="2" borderId="5" xfId="0" applyFont="1" applyFill="1" applyBorder="1"/>
    <xf numFmtId="0" fontId="7" fillId="2" borderId="10" xfId="0" applyFont="1" applyFill="1" applyBorder="1"/>
    <xf numFmtId="0" fontId="3" fillId="4" borderId="7" xfId="3" applyFill="1" applyBorder="1"/>
    <xf numFmtId="9" fontId="3" fillId="4" borderId="11" xfId="3" applyNumberFormat="1" applyFill="1" applyBorder="1"/>
    <xf numFmtId="9" fontId="3" fillId="4" borderId="10" xfId="3" applyNumberFormat="1" applyFill="1" applyBorder="1"/>
    <xf numFmtId="9" fontId="3" fillId="4" borderId="8" xfId="3" applyNumberFormat="1" applyFill="1" applyBorder="1"/>
    <xf numFmtId="0" fontId="8" fillId="2" borderId="0" xfId="3" applyFont="1" applyFill="1" applyBorder="1"/>
    <xf numFmtId="0" fontId="7" fillId="4" borderId="0" xfId="0" applyFont="1" applyFill="1" applyBorder="1"/>
    <xf numFmtId="0" fontId="9" fillId="5" borderId="0" xfId="0" applyFont="1" applyFill="1" applyBorder="1"/>
    <xf numFmtId="0" fontId="7" fillId="5" borderId="0" xfId="0" applyFont="1" applyFill="1" applyBorder="1"/>
    <xf numFmtId="0" fontId="8" fillId="5" borderId="0" xfId="3" applyFont="1" applyFill="1" applyBorder="1"/>
    <xf numFmtId="0" fontId="8" fillId="2" borderId="18" xfId="3" applyFont="1" applyFill="1" applyBorder="1"/>
    <xf numFmtId="0" fontId="7" fillId="2" borderId="19" xfId="0" applyFont="1" applyFill="1" applyBorder="1"/>
    <xf numFmtId="0" fontId="9" fillId="5" borderId="19" xfId="0" applyFont="1" applyFill="1" applyBorder="1"/>
    <xf numFmtId="0" fontId="7" fillId="5" borderId="19" xfId="0" applyFont="1" applyFill="1" applyBorder="1"/>
    <xf numFmtId="0" fontId="8" fillId="5" borderId="19" xfId="3" applyFont="1" applyFill="1" applyBorder="1"/>
    <xf numFmtId="0" fontId="9" fillId="5" borderId="20" xfId="0" applyFont="1" applyFill="1" applyBorder="1"/>
    <xf numFmtId="0" fontId="7" fillId="2" borderId="21" xfId="0" applyFont="1" applyFill="1" applyBorder="1"/>
    <xf numFmtId="0" fontId="6" fillId="2" borderId="21" xfId="3" applyFont="1" applyFill="1" applyBorder="1"/>
    <xf numFmtId="0" fontId="7" fillId="2" borderId="23" xfId="0" applyFont="1" applyFill="1" applyBorder="1"/>
    <xf numFmtId="0" fontId="9" fillId="2" borderId="0" xfId="0" applyFont="1" applyFill="1" applyBorder="1"/>
    <xf numFmtId="0" fontId="9" fillId="2" borderId="24" xfId="0" applyFont="1" applyFill="1" applyBorder="1"/>
    <xf numFmtId="0" fontId="9" fillId="12" borderId="19" xfId="0" applyFont="1" applyFill="1" applyBorder="1"/>
    <xf numFmtId="0" fontId="7" fillId="12" borderId="19" xfId="0" applyFont="1" applyFill="1" applyBorder="1"/>
    <xf numFmtId="0" fontId="9" fillId="12" borderId="0" xfId="0" applyFont="1" applyFill="1" applyBorder="1"/>
    <xf numFmtId="0" fontId="8" fillId="12" borderId="0" xfId="3" applyFont="1" applyFill="1" applyBorder="1"/>
    <xf numFmtId="0" fontId="9" fillId="12" borderId="24" xfId="0" applyFont="1" applyFill="1" applyBorder="1"/>
    <xf numFmtId="0" fontId="9" fillId="5" borderId="24" xfId="0" applyFont="1" applyFill="1" applyBorder="1"/>
    <xf numFmtId="0" fontId="9" fillId="5" borderId="22" xfId="0" applyFont="1" applyFill="1" applyBorder="1"/>
    <xf numFmtId="0" fontId="9" fillId="5" borderId="25" xfId="0" applyFont="1" applyFill="1" applyBorder="1"/>
    <xf numFmtId="0" fontId="8" fillId="3" borderId="4" xfId="3" applyFont="1" applyFill="1" applyBorder="1"/>
    <xf numFmtId="1" fontId="9" fillId="4" borderId="0" xfId="0" applyNumberFormat="1" applyFont="1" applyFill="1" applyBorder="1"/>
    <xf numFmtId="9" fontId="7" fillId="4" borderId="0" xfId="1" applyFont="1" applyFill="1" applyBorder="1"/>
    <xf numFmtId="9" fontId="9" fillId="3" borderId="17" xfId="1" applyFont="1" applyFill="1" applyBorder="1"/>
    <xf numFmtId="9" fontId="9" fillId="3" borderId="0" xfId="1" applyFont="1" applyFill="1" applyBorder="1"/>
    <xf numFmtId="0" fontId="9" fillId="4" borderId="26" xfId="0" applyFont="1" applyFill="1" applyBorder="1"/>
    <xf numFmtId="0" fontId="9" fillId="4" borderId="18" xfId="0" applyFont="1" applyFill="1" applyBorder="1"/>
    <xf numFmtId="0" fontId="9" fillId="4" borderId="19" xfId="0" applyFont="1" applyFill="1" applyBorder="1" applyAlignment="1">
      <alignment horizontal="right"/>
    </xf>
    <xf numFmtId="9" fontId="9" fillId="4" borderId="19" xfId="1" applyFont="1" applyFill="1" applyBorder="1" applyAlignment="1">
      <alignment horizontal="right"/>
    </xf>
    <xf numFmtId="9" fontId="9" fillId="4" borderId="20" xfId="1" applyFont="1" applyFill="1" applyBorder="1" applyAlignment="1">
      <alignment horizontal="right"/>
    </xf>
    <xf numFmtId="1" fontId="7" fillId="4" borderId="21" xfId="1" applyNumberFormat="1" applyFont="1" applyFill="1" applyBorder="1"/>
    <xf numFmtId="9" fontId="7" fillId="4" borderId="22" xfId="1" applyFont="1" applyFill="1" applyBorder="1"/>
    <xf numFmtId="1" fontId="7" fillId="4" borderId="23" xfId="1" applyNumberFormat="1" applyFont="1" applyFill="1" applyBorder="1"/>
    <xf numFmtId="1" fontId="7" fillId="4" borderId="24" xfId="1" applyNumberFormat="1" applyFont="1" applyFill="1" applyBorder="1"/>
    <xf numFmtId="9" fontId="7" fillId="4" borderId="24" xfId="1" applyFont="1" applyFill="1" applyBorder="1"/>
    <xf numFmtId="9" fontId="7" fillId="4" borderId="25" xfId="1" applyFont="1" applyFill="1" applyBorder="1"/>
    <xf numFmtId="1" fontId="9" fillId="4" borderId="19" xfId="1" applyNumberFormat="1" applyFont="1" applyFill="1" applyBorder="1"/>
    <xf numFmtId="9" fontId="9" fillId="4" borderId="19" xfId="1" applyFont="1" applyFill="1" applyBorder="1"/>
    <xf numFmtId="9" fontId="9" fillId="4" borderId="20" xfId="1" applyFont="1" applyFill="1" applyBorder="1"/>
    <xf numFmtId="0" fontId="7" fillId="4" borderId="22" xfId="0" applyFont="1" applyFill="1" applyBorder="1"/>
    <xf numFmtId="0" fontId="9" fillId="3" borderId="18" xfId="0" applyFont="1" applyFill="1" applyBorder="1"/>
    <xf numFmtId="0" fontId="9" fillId="3" borderId="19" xfId="0" applyFont="1" applyFill="1" applyBorder="1"/>
    <xf numFmtId="9" fontId="9" fillId="3" borderId="19" xfId="1" applyFont="1" applyFill="1" applyBorder="1"/>
    <xf numFmtId="9" fontId="9" fillId="3" borderId="20" xfId="1" applyFont="1" applyFill="1" applyBorder="1"/>
    <xf numFmtId="0" fontId="7" fillId="3" borderId="21" xfId="0" applyFont="1" applyFill="1" applyBorder="1"/>
    <xf numFmtId="0" fontId="9" fillId="3" borderId="0" xfId="0" applyFont="1" applyFill="1" applyBorder="1"/>
    <xf numFmtId="0" fontId="7" fillId="3" borderId="0" xfId="0" applyFont="1" applyFill="1" applyBorder="1"/>
    <xf numFmtId="0" fontId="7" fillId="3" borderId="22" xfId="0" applyFont="1" applyFill="1" applyBorder="1"/>
    <xf numFmtId="0" fontId="9" fillId="3" borderId="26" xfId="0" applyFont="1" applyFill="1" applyBorder="1"/>
    <xf numFmtId="0" fontId="9" fillId="3" borderId="27" xfId="0" applyFont="1" applyFill="1" applyBorder="1"/>
    <xf numFmtId="0" fontId="9" fillId="4" borderId="27" xfId="0" applyFont="1" applyFill="1" applyBorder="1"/>
    <xf numFmtId="0" fontId="9" fillId="4" borderId="28" xfId="0" applyFont="1" applyFill="1" applyBorder="1"/>
    <xf numFmtId="0" fontId="3" fillId="0" borderId="18" xfId="3" applyBorder="1"/>
    <xf numFmtId="0" fontId="0" fillId="0" borderId="19" xfId="0" applyBorder="1"/>
    <xf numFmtId="0" fontId="3" fillId="0" borderId="20" xfId="3" applyBorder="1"/>
    <xf numFmtId="0" fontId="3" fillId="0" borderId="21" xfId="3" applyBorder="1"/>
    <xf numFmtId="0" fontId="3" fillId="0" borderId="0" xfId="3" applyBorder="1"/>
    <xf numFmtId="0" fontId="3" fillId="0" borderId="22" xfId="3" applyBorder="1"/>
    <xf numFmtId="0" fontId="3" fillId="0" borderId="23" xfId="3" applyBorder="1"/>
    <xf numFmtId="0" fontId="3" fillId="0" borderId="24" xfId="3" applyBorder="1"/>
    <xf numFmtId="0" fontId="3" fillId="0" borderId="25" xfId="3" applyBorder="1"/>
    <xf numFmtId="0" fontId="4" fillId="2" borderId="6" xfId="3" applyFont="1" applyFill="1" applyBorder="1"/>
    <xf numFmtId="0" fontId="3" fillId="2" borderId="7" xfId="3" applyFill="1" applyBorder="1"/>
    <xf numFmtId="0" fontId="0" fillId="0" borderId="4" xfId="0" applyBorder="1"/>
    <xf numFmtId="0" fontId="2" fillId="0" borderId="5" xfId="0" applyFont="1" applyBorder="1"/>
    <xf numFmtId="0" fontId="8" fillId="2" borderId="26" xfId="3" applyFont="1" applyFill="1" applyBorder="1"/>
    <xf numFmtId="0" fontId="9" fillId="2" borderId="27" xfId="0" applyFont="1" applyFill="1" applyBorder="1"/>
    <xf numFmtId="0" fontId="0" fillId="2" borderId="27" xfId="0" applyFill="1" applyBorder="1"/>
    <xf numFmtId="0" fontId="9" fillId="5" borderId="27" xfId="0" applyFont="1" applyFill="1" applyBorder="1"/>
    <xf numFmtId="0" fontId="7" fillId="5" borderId="27" xfId="0" applyFont="1" applyFill="1" applyBorder="1"/>
    <xf numFmtId="0" fontId="8" fillId="5" borderId="27" xfId="3" applyFont="1" applyFill="1" applyBorder="1"/>
    <xf numFmtId="0" fontId="0" fillId="5" borderId="28" xfId="0" applyFill="1" applyBorder="1"/>
    <xf numFmtId="0" fontId="9" fillId="0" borderId="0" xfId="0" applyFont="1" applyFill="1" applyBorder="1"/>
    <xf numFmtId="0" fontId="0" fillId="0" borderId="0" xfId="0" applyFill="1" applyBorder="1"/>
    <xf numFmtId="0" fontId="7" fillId="0" borderId="0" xfId="0" applyFont="1" applyFill="1" applyBorder="1"/>
    <xf numFmtId="10" fontId="0" fillId="0" borderId="0" xfId="0" applyNumberFormat="1" applyFill="1" applyBorder="1"/>
    <xf numFmtId="0" fontId="9" fillId="2" borderId="19" xfId="0" applyFont="1" applyFill="1" applyBorder="1"/>
    <xf numFmtId="0" fontId="0" fillId="2" borderId="19" xfId="0" applyFill="1" applyBorder="1"/>
    <xf numFmtId="0" fontId="0" fillId="2" borderId="21" xfId="0" applyFill="1" applyBorder="1"/>
    <xf numFmtId="0" fontId="2" fillId="2" borderId="0" xfId="0" applyFont="1" applyFill="1" applyBorder="1"/>
    <xf numFmtId="0" fontId="0" fillId="2" borderId="0" xfId="0" applyFill="1" applyBorder="1"/>
    <xf numFmtId="0" fontId="0" fillId="2" borderId="23" xfId="0" applyFill="1" applyBorder="1"/>
    <xf numFmtId="0" fontId="2" fillId="2" borderId="24" xfId="0" applyFont="1" applyFill="1" applyBorder="1"/>
    <xf numFmtId="0" fontId="0" fillId="2" borderId="24" xfId="0" applyFill="1" applyBorder="1"/>
    <xf numFmtId="0" fontId="9" fillId="4" borderId="19" xfId="0" applyFont="1" applyFill="1" applyBorder="1"/>
    <xf numFmtId="0" fontId="7" fillId="4" borderId="19" xfId="0" applyFont="1" applyFill="1" applyBorder="1"/>
    <xf numFmtId="0" fontId="0" fillId="4" borderId="19" xfId="0" applyFill="1" applyBorder="1"/>
    <xf numFmtId="0" fontId="7" fillId="4" borderId="19" xfId="0" applyFont="1" applyFill="1" applyBorder="1" applyAlignment="1">
      <alignment horizontal="right"/>
    </xf>
    <xf numFmtId="0" fontId="8" fillId="4" borderId="19" xfId="3" applyFont="1" applyFill="1" applyBorder="1"/>
    <xf numFmtId="0" fontId="9" fillId="4" borderId="20" xfId="0" applyFont="1" applyFill="1" applyBorder="1"/>
    <xf numFmtId="0" fontId="0" fillId="4" borderId="0" xfId="0" applyFill="1" applyBorder="1"/>
    <xf numFmtId="10" fontId="0" fillId="4" borderId="0" xfId="0" applyNumberFormat="1" applyFill="1" applyBorder="1"/>
    <xf numFmtId="0" fontId="0" fillId="4" borderId="22" xfId="0" applyFill="1" applyBorder="1"/>
    <xf numFmtId="0" fontId="0" fillId="4" borderId="24" xfId="0" applyFill="1" applyBorder="1"/>
    <xf numFmtId="10" fontId="0" fillId="4" borderId="24" xfId="0" applyNumberFormat="1" applyFill="1" applyBorder="1"/>
    <xf numFmtId="0" fontId="0" fillId="4" borderId="25" xfId="0" applyFill="1" applyBorder="1"/>
    <xf numFmtId="0" fontId="7" fillId="12" borderId="0" xfId="0" applyFont="1" applyFill="1" applyBorder="1"/>
    <xf numFmtId="0" fontId="6" fillId="12" borderId="0" xfId="3" applyFont="1" applyFill="1" applyBorder="1"/>
    <xf numFmtId="0" fontId="7" fillId="12" borderId="24" xfId="0" applyFont="1" applyFill="1" applyBorder="1"/>
    <xf numFmtId="0" fontId="6" fillId="5" borderId="0" xfId="3" applyFont="1" applyFill="1" applyBorder="1"/>
    <xf numFmtId="0" fontId="7" fillId="5" borderId="24" xfId="0" applyFont="1" applyFill="1" applyBorder="1"/>
    <xf numFmtId="0" fontId="7" fillId="5" borderId="19" xfId="0" applyFont="1" applyFill="1" applyBorder="1" applyAlignment="1">
      <alignment horizontal="right"/>
    </xf>
    <xf numFmtId="0" fontId="6" fillId="5" borderId="19" xfId="3" applyFont="1" applyFill="1" applyBorder="1"/>
    <xf numFmtId="0" fontId="6" fillId="5" borderId="7" xfId="3" applyFont="1" applyFill="1" applyBorder="1"/>
    <xf numFmtId="0" fontId="8" fillId="4" borderId="0" xfId="3" applyFont="1" applyFill="1" applyBorder="1"/>
    <xf numFmtId="0" fontId="8" fillId="2" borderId="20" xfId="3" applyFont="1" applyFill="1" applyBorder="1"/>
    <xf numFmtId="0" fontId="8" fillId="2" borderId="21" xfId="3" applyFont="1" applyFill="1" applyBorder="1"/>
    <xf numFmtId="0" fontId="8" fillId="2" borderId="22" xfId="3" applyFont="1" applyFill="1" applyBorder="1"/>
    <xf numFmtId="0" fontId="8" fillId="2" borderId="23" xfId="3" applyFont="1" applyFill="1" applyBorder="1"/>
    <xf numFmtId="0" fontId="8" fillId="2" borderId="25" xfId="3" applyFont="1" applyFill="1" applyBorder="1"/>
    <xf numFmtId="0" fontId="6" fillId="3" borderId="0" xfId="3" applyFont="1" applyFill="1" applyBorder="1"/>
    <xf numFmtId="9" fontId="6" fillId="3" borderId="0" xfId="3" applyNumberFormat="1" applyFont="1" applyFill="1" applyBorder="1"/>
    <xf numFmtId="0" fontId="6" fillId="4" borderId="0" xfId="3" applyFont="1" applyFill="1" applyBorder="1"/>
    <xf numFmtId="0" fontId="9" fillId="3" borderId="19" xfId="0" applyFont="1" applyFill="1" applyBorder="1" applyAlignment="1">
      <alignment horizontal="right"/>
    </xf>
    <xf numFmtId="0" fontId="8" fillId="3" borderId="20" xfId="3" applyFont="1" applyFill="1" applyBorder="1"/>
    <xf numFmtId="0" fontId="6" fillId="3" borderId="21" xfId="3" applyFont="1" applyFill="1" applyBorder="1"/>
    <xf numFmtId="0" fontId="6" fillId="3" borderId="22" xfId="3" applyFont="1" applyFill="1" applyBorder="1"/>
    <xf numFmtId="0" fontId="6" fillId="3" borderId="23" xfId="3" applyFont="1" applyFill="1" applyBorder="1"/>
    <xf numFmtId="0" fontId="6" fillId="3" borderId="24" xfId="3" applyFont="1" applyFill="1" applyBorder="1"/>
    <xf numFmtId="9" fontId="6" fillId="3" borderId="24" xfId="3" applyNumberFormat="1" applyFont="1" applyFill="1" applyBorder="1"/>
    <xf numFmtId="0" fontId="6" fillId="3" borderId="25" xfId="3" applyFont="1" applyFill="1" applyBorder="1"/>
    <xf numFmtId="0" fontId="8" fillId="3" borderId="19" xfId="3" applyFont="1" applyFill="1" applyBorder="1"/>
    <xf numFmtId="9" fontId="8" fillId="2" borderId="7" xfId="3" applyNumberFormat="1" applyFont="1" applyFill="1" applyBorder="1"/>
    <xf numFmtId="9" fontId="8" fillId="2" borderId="5" xfId="3" applyNumberFormat="1" applyFont="1" applyFill="1" applyBorder="1"/>
    <xf numFmtId="9" fontId="7" fillId="2" borderId="5" xfId="0" applyNumberFormat="1" applyFont="1" applyFill="1" applyBorder="1"/>
    <xf numFmtId="9" fontId="9" fillId="2" borderId="2" xfId="0" applyNumberFormat="1" applyFont="1" applyFill="1" applyBorder="1"/>
  </cellXfs>
  <cellStyles count="4">
    <cellStyle name="Normal" xfId="0" builtinId="0"/>
    <cellStyle name="Normal 2" xfId="3" xr:uid="{00000000-0005-0000-0000-000001000000}"/>
    <cellStyle name="Normal 3" xfId="2" xr:uid="{00000000-0005-0000-0000-000002000000}"/>
    <cellStyle name="Pros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63500</xdr:colOff>
      <xdr:row>7</xdr:row>
      <xdr:rowOff>101601</xdr:rowOff>
    </xdr:from>
    <xdr:to>
      <xdr:col>41</xdr:col>
      <xdr:colOff>704</xdr:colOff>
      <xdr:row>10</xdr:row>
      <xdr:rowOff>85725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484975" y="1263651"/>
          <a:ext cx="6328479" cy="469899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b-NO" sz="1100" b="1"/>
            <a:t>Gjentak: </a:t>
          </a:r>
          <a:r>
            <a:rPr lang="nb-NO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Andelen gjentak på MiR er igjen stabilt etter en økning våren 2024.</a:t>
          </a:r>
          <a:r>
            <a:rPr lang="nb-NO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Antall gjentak på JUS2211 har gått ned i forhold til V24 og V23. Relativt høye tall for gjentak på 3. studieår. </a:t>
          </a:r>
          <a:endParaRPr lang="nb-NO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nb-NO" sz="1100" b="0"/>
        </a:p>
      </xdr:txBody>
    </xdr:sp>
    <xdr:clientData/>
  </xdr:twoCellAnchor>
  <xdr:twoCellAnchor>
    <xdr:from>
      <xdr:col>30</xdr:col>
      <xdr:colOff>66221</xdr:colOff>
      <xdr:row>23</xdr:row>
      <xdr:rowOff>0</xdr:rowOff>
    </xdr:from>
    <xdr:to>
      <xdr:col>41</xdr:col>
      <xdr:colOff>19050</xdr:colOff>
      <xdr:row>25</xdr:row>
      <xdr:rowOff>142875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7020721" y="3952875"/>
          <a:ext cx="6658429" cy="4667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1"/>
            <a:t>Valgemner</a:t>
          </a:r>
          <a:r>
            <a:rPr lang="nb-NO" sz="1100" b="1" baseline="0"/>
            <a:t> ba: </a:t>
          </a:r>
          <a:r>
            <a:rPr lang="nb-NO" sz="1100" b="0" baseline="0"/>
            <a:t>Det er langt flere kandidater som avlegger norske valgemner på ba-nivå enn engelske. Det er bedre oppmøteprosent på engelske valgemner enn på de norske. </a:t>
          </a:r>
        </a:p>
      </xdr:txBody>
    </xdr:sp>
    <xdr:clientData/>
  </xdr:twoCellAnchor>
  <xdr:twoCellAnchor>
    <xdr:from>
      <xdr:col>30</xdr:col>
      <xdr:colOff>84365</xdr:colOff>
      <xdr:row>55</xdr:row>
      <xdr:rowOff>152400</xdr:rowOff>
    </xdr:from>
    <xdr:to>
      <xdr:col>41</xdr:col>
      <xdr:colOff>28576</xdr:colOff>
      <xdr:row>58</xdr:row>
      <xdr:rowOff>19050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7038865" y="9353550"/>
          <a:ext cx="6649811" cy="3524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b-NO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Valgemner ma: </a:t>
          </a:r>
          <a:r>
            <a:rPr lang="nb-NO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Antall kandidater møtt på valgemner på ma-nivå har igjen økt våren 2025.</a:t>
          </a:r>
          <a:r>
            <a:rPr lang="nb-NO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nb-NO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endParaRPr lang="nb-NO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30</xdr:col>
      <xdr:colOff>76200</xdr:colOff>
      <xdr:row>2</xdr:row>
      <xdr:rowOff>19050</xdr:rowOff>
    </xdr:from>
    <xdr:to>
      <xdr:col>40</xdr:col>
      <xdr:colOff>578556</xdr:colOff>
      <xdr:row>6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  <a:ext uri="{147F2762-F138-4A5C-976F-8EAC2B608ADB}">
              <a16:predDERef xmlns:a16="http://schemas.microsoft.com/office/drawing/2014/main" pred="{00000000-0008-0000-0000-000005000000}"/>
            </a:ext>
          </a:extLst>
        </xdr:cNvPr>
        <xdr:cNvSpPr txBox="1"/>
      </xdr:nvSpPr>
      <xdr:spPr>
        <a:xfrm>
          <a:off x="9486900" y="352425"/>
          <a:ext cx="6312606" cy="6477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r>
            <a:rPr lang="en-US" sz="1100" b="0" i="0" u="none" strike="noStrike">
              <a:solidFill>
                <a:schemeClr val="dk1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Det er stabile tall for antall m</a:t>
          </a:r>
          <a:r>
            <a:rPr lang="en-US" sz="1100">
              <a:solidFill>
                <a:schemeClr val="dk1"/>
              </a:solidFill>
              <a:latin typeface="+mn-lt"/>
              <a:ea typeface="+mn-lt"/>
              <a:cs typeface="+mn-lt"/>
            </a:rPr>
            <a:t>øtte kandidater på studieårsemner</a:t>
          </a:r>
          <a:r>
            <a:rPr lang="en-US" sz="1100" b="0" i="0" u="none" strike="noStrike">
              <a:solidFill>
                <a:schemeClr val="dk1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. </a:t>
          </a:r>
          <a:endParaRPr lang="en-US" sz="1100">
            <a:solidFill>
              <a:schemeClr val="dk1"/>
            </a:solidFill>
            <a:latin typeface="+mn-lt"/>
            <a:ea typeface="+mn-lt"/>
            <a:cs typeface="+mn-lt"/>
          </a:endParaRPr>
        </a:p>
        <a:p>
          <a:pPr marL="0" indent="0"/>
          <a:endParaRPr lang="en-US" sz="1100">
            <a:solidFill>
              <a:schemeClr val="dk1"/>
            </a:solidFill>
            <a:latin typeface="+mn-lt"/>
            <a:ea typeface="+mn-lt"/>
            <a:cs typeface="+mn-lt"/>
          </a:endParaRPr>
        </a:p>
        <a:p>
          <a:pPr marL="0" indent="0"/>
          <a:endParaRPr lang="en-US" sz="1100">
            <a:solidFill>
              <a:schemeClr val="dk1"/>
            </a:solidFill>
            <a:latin typeface="+mn-lt"/>
            <a:ea typeface="+mn-lt"/>
            <a:cs typeface="+mn-lt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09"/>
  <sheetViews>
    <sheetView tabSelected="1" zoomScaleNormal="100" workbookViewId="0">
      <selection activeCell="D84" sqref="D84"/>
    </sheetView>
  </sheetViews>
  <sheetFormatPr baseColWidth="10" defaultColWidth="8.7109375" defaultRowHeight="12.75" x14ac:dyDescent="0.2"/>
  <cols>
    <col min="1" max="1" width="10.5703125" style="84" customWidth="1"/>
    <col min="2" max="2" width="21.85546875" style="84" customWidth="1"/>
    <col min="3" max="3" width="11.5703125" style="84" customWidth="1"/>
    <col min="4" max="4" width="12.28515625" style="84" customWidth="1"/>
    <col min="5" max="5" width="10.140625" style="84" customWidth="1"/>
    <col min="6" max="6" width="14.28515625" style="84" customWidth="1"/>
    <col min="7" max="7" width="9.42578125" style="84" customWidth="1"/>
    <col min="8" max="8" width="10.85546875" style="84" customWidth="1"/>
    <col min="9" max="9" width="10" style="84" customWidth="1"/>
    <col min="10" max="10" width="13.42578125" style="84" customWidth="1"/>
    <col min="11" max="11" width="9.42578125" style="84" customWidth="1"/>
    <col min="12" max="12" width="9.85546875" style="84" customWidth="1"/>
    <col min="13" max="13" width="6.42578125" style="84" customWidth="1"/>
    <col min="14" max="14" width="8.85546875" style="84" customWidth="1"/>
    <col min="15" max="18" width="9" style="84" customWidth="1"/>
    <col min="19" max="22" width="8.7109375" style="84" customWidth="1"/>
    <col min="23" max="23" width="9.5703125" style="84" customWidth="1"/>
    <col min="24" max="24" width="6.5703125" style="84" customWidth="1"/>
    <col min="25" max="25" width="7.5703125" style="84" customWidth="1"/>
    <col min="26" max="26" width="8.140625" style="84" customWidth="1"/>
    <col min="27" max="27" width="9.140625" style="84" customWidth="1"/>
    <col min="28" max="29" width="6.42578125" style="84" customWidth="1"/>
    <col min="30" max="30" width="7.5703125" style="84" customWidth="1"/>
    <col min="31" max="16384" width="8.7109375" style="84"/>
  </cols>
  <sheetData>
    <row r="1" spans="1:30" x14ac:dyDescent="0.2">
      <c r="A1" s="119" t="s">
        <v>0</v>
      </c>
    </row>
    <row r="2" spans="1:30" ht="13.5" thickBot="1" x14ac:dyDescent="0.25"/>
    <row r="3" spans="1:30" ht="13.5" thickBot="1" x14ac:dyDescent="0.25">
      <c r="A3" s="229" t="s">
        <v>1</v>
      </c>
      <c r="B3" s="230" t="s">
        <v>2</v>
      </c>
      <c r="C3" s="150"/>
      <c r="D3" s="122" t="s">
        <v>3</v>
      </c>
      <c r="E3" s="122"/>
      <c r="F3" s="192"/>
      <c r="G3" s="352"/>
      <c r="H3" s="170" t="s">
        <v>3</v>
      </c>
      <c r="I3" s="170"/>
      <c r="J3" s="332"/>
      <c r="K3" s="124"/>
      <c r="L3" s="125" t="s">
        <v>4</v>
      </c>
      <c r="M3" s="125"/>
      <c r="N3" s="245"/>
      <c r="O3" s="150"/>
      <c r="P3" s="122" t="s">
        <v>5</v>
      </c>
      <c r="Q3" s="122"/>
      <c r="R3" s="192"/>
      <c r="S3" s="121"/>
      <c r="T3" s="122" t="s">
        <v>6</v>
      </c>
      <c r="U3" s="123"/>
      <c r="V3" s="123"/>
      <c r="W3" s="124"/>
      <c r="X3" s="125" t="s">
        <v>7</v>
      </c>
      <c r="Y3" s="126"/>
      <c r="Z3" s="126"/>
      <c r="AA3" s="150"/>
      <c r="AB3" s="122" t="s">
        <v>8</v>
      </c>
      <c r="AC3" s="123"/>
      <c r="AD3" s="123"/>
    </row>
    <row r="4" spans="1:30" ht="13.5" thickBot="1" x14ac:dyDescent="0.25">
      <c r="A4" s="127" t="s">
        <v>9</v>
      </c>
      <c r="B4" s="128"/>
      <c r="C4" s="197" t="s">
        <v>10</v>
      </c>
      <c r="D4" s="160" t="s">
        <v>11</v>
      </c>
      <c r="E4" s="160" t="s">
        <v>12</v>
      </c>
      <c r="F4" s="223" t="s">
        <v>13</v>
      </c>
      <c r="G4" s="353" t="s">
        <v>10</v>
      </c>
      <c r="H4" s="145" t="s">
        <v>11</v>
      </c>
      <c r="I4" s="145" t="s">
        <v>12</v>
      </c>
      <c r="J4" s="354" t="s">
        <v>13</v>
      </c>
      <c r="K4" s="246" t="s">
        <v>10</v>
      </c>
      <c r="L4" s="109" t="s">
        <v>11</v>
      </c>
      <c r="M4" s="109" t="s">
        <v>12</v>
      </c>
      <c r="N4" s="247" t="s">
        <v>13</v>
      </c>
      <c r="O4" s="197" t="s">
        <v>10</v>
      </c>
      <c r="P4" s="160" t="s">
        <v>11</v>
      </c>
      <c r="Q4" s="160" t="s">
        <v>12</v>
      </c>
      <c r="R4" s="223" t="s">
        <v>13</v>
      </c>
      <c r="S4" s="129" t="s">
        <v>14</v>
      </c>
      <c r="T4" s="130" t="s">
        <v>11</v>
      </c>
      <c r="U4" s="131" t="s">
        <v>12</v>
      </c>
      <c r="V4" s="132" t="s">
        <v>15</v>
      </c>
      <c r="W4" s="125" t="s">
        <v>14</v>
      </c>
      <c r="X4" s="133" t="s">
        <v>11</v>
      </c>
      <c r="Y4" s="134" t="s">
        <v>12</v>
      </c>
      <c r="Z4" s="134" t="s">
        <v>13</v>
      </c>
      <c r="AA4" s="122" t="s">
        <v>14</v>
      </c>
      <c r="AB4" s="222" t="s">
        <v>11</v>
      </c>
      <c r="AC4" s="293" t="s">
        <v>12</v>
      </c>
      <c r="AD4" s="293" t="s">
        <v>13</v>
      </c>
    </row>
    <row r="5" spans="1:30" x14ac:dyDescent="0.2">
      <c r="A5" s="402" t="s">
        <v>16</v>
      </c>
      <c r="B5" s="403" t="s">
        <v>17</v>
      </c>
      <c r="C5" s="136">
        <v>175</v>
      </c>
      <c r="D5" s="136">
        <v>166</v>
      </c>
      <c r="E5" s="171">
        <f>D5/C5</f>
        <v>0.94857142857142862</v>
      </c>
      <c r="F5" s="136">
        <v>0</v>
      </c>
      <c r="G5" s="138">
        <v>204</v>
      </c>
      <c r="H5" s="139">
        <v>197</v>
      </c>
      <c r="I5" s="355">
        <f>H5/G5</f>
        <v>0.96568627450980393</v>
      </c>
      <c r="J5" s="356">
        <v>5.0000000000000001E-3</v>
      </c>
      <c r="K5" s="248">
        <v>217</v>
      </c>
      <c r="L5" s="142">
        <v>210</v>
      </c>
      <c r="M5" s="249">
        <f>L5/K5</f>
        <v>0.967741935483871</v>
      </c>
      <c r="N5" s="144">
        <v>0</v>
      </c>
      <c r="O5" s="135">
        <v>205</v>
      </c>
      <c r="P5" s="136">
        <v>203</v>
      </c>
      <c r="Q5" s="171">
        <v>0.99</v>
      </c>
      <c r="R5" s="137"/>
      <c r="S5" s="138">
        <v>210</v>
      </c>
      <c r="T5" s="139">
        <v>206</v>
      </c>
      <c r="U5" s="140">
        <f>206/210</f>
        <v>0.98095238095238091</v>
      </c>
      <c r="V5" s="141">
        <v>1.4</v>
      </c>
      <c r="W5" s="142">
        <v>204</v>
      </c>
      <c r="X5" s="142">
        <v>200</v>
      </c>
      <c r="Y5" s="143">
        <f>200/204</f>
        <v>0.98039215686274506</v>
      </c>
      <c r="Z5" s="142">
        <v>8.3000000000000007</v>
      </c>
      <c r="AA5" s="297">
        <v>372</v>
      </c>
      <c r="AB5" s="264">
        <v>323</v>
      </c>
      <c r="AC5" s="298">
        <f>AB5/AA5</f>
        <v>0.86827956989247312</v>
      </c>
      <c r="AD5" s="324">
        <v>0.33600000000000002</v>
      </c>
    </row>
    <row r="6" spans="1:30" x14ac:dyDescent="0.2">
      <c r="A6" s="83" t="s">
        <v>18</v>
      </c>
      <c r="B6" s="404" t="s">
        <v>19</v>
      </c>
      <c r="C6" s="136">
        <v>207</v>
      </c>
      <c r="D6" s="136">
        <v>177</v>
      </c>
      <c r="E6" s="171">
        <f t="shared" ref="E6:E19" si="0">D6/C6</f>
        <v>0.85507246376811596</v>
      </c>
      <c r="F6" s="414">
        <v>4.2999999999999997E-2</v>
      </c>
      <c r="G6" s="138">
        <v>229</v>
      </c>
      <c r="H6" s="139">
        <v>196</v>
      </c>
      <c r="I6" s="355">
        <f t="shared" ref="I6:I10" si="1">H6/G6</f>
        <v>0.85589519650655022</v>
      </c>
      <c r="J6" s="356">
        <v>3.9E-2</v>
      </c>
      <c r="K6" s="248">
        <v>214</v>
      </c>
      <c r="L6" s="142">
        <v>191</v>
      </c>
      <c r="M6" s="249">
        <f t="shared" ref="M6:M19" si="2">L6/K6</f>
        <v>0.89252336448598135</v>
      </c>
      <c r="N6" s="250">
        <v>4.2000000000000003E-2</v>
      </c>
      <c r="O6" s="135">
        <v>241</v>
      </c>
      <c r="P6" s="136">
        <v>221</v>
      </c>
      <c r="Q6" s="171">
        <v>0.91</v>
      </c>
      <c r="R6" s="176">
        <v>9.5000000000000001E-2</v>
      </c>
      <c r="S6" s="138">
        <v>215</v>
      </c>
      <c r="T6" s="139">
        <v>206</v>
      </c>
      <c r="U6" s="140">
        <f>206/215</f>
        <v>0.95813953488372094</v>
      </c>
      <c r="V6" s="141">
        <v>5.6</v>
      </c>
      <c r="W6" s="142">
        <v>278</v>
      </c>
      <c r="X6" s="142">
        <v>256</v>
      </c>
      <c r="Y6" s="143">
        <f>256/278</f>
        <v>0.92086330935251803</v>
      </c>
      <c r="Z6" s="142">
        <v>7.6</v>
      </c>
      <c r="AA6" s="135">
        <v>350</v>
      </c>
      <c r="AB6" s="136">
        <v>318</v>
      </c>
      <c r="AC6" s="171">
        <f t="shared" ref="AC6:AC19" si="3">AB6/AA6</f>
        <v>0.90857142857142859</v>
      </c>
      <c r="AD6" s="325">
        <v>0.29399999999999998</v>
      </c>
    </row>
    <row r="7" spans="1:30" x14ac:dyDescent="0.2">
      <c r="A7" s="83" t="s">
        <v>20</v>
      </c>
      <c r="B7" s="405" t="s">
        <v>21</v>
      </c>
      <c r="C7" s="86">
        <v>243</v>
      </c>
      <c r="D7" s="86">
        <v>224</v>
      </c>
      <c r="E7" s="171">
        <f t="shared" si="0"/>
        <v>0.92181069958847739</v>
      </c>
      <c r="F7" s="415">
        <v>0.123</v>
      </c>
      <c r="G7" s="87">
        <v>246</v>
      </c>
      <c r="H7" s="88">
        <v>235</v>
      </c>
      <c r="I7" s="355">
        <f t="shared" si="1"/>
        <v>0.95528455284552849</v>
      </c>
      <c r="J7" s="357">
        <v>0.114</v>
      </c>
      <c r="K7" s="251">
        <v>219</v>
      </c>
      <c r="L7" s="89">
        <v>208</v>
      </c>
      <c r="M7" s="249">
        <f t="shared" si="2"/>
        <v>0.94977168949771684</v>
      </c>
      <c r="N7" s="252">
        <v>0.105</v>
      </c>
      <c r="O7" s="85">
        <v>220</v>
      </c>
      <c r="P7" s="86">
        <v>208</v>
      </c>
      <c r="Q7" s="101">
        <v>0.94</v>
      </c>
      <c r="R7" s="177">
        <v>0.11799999999999999</v>
      </c>
      <c r="S7" s="87">
        <v>209</v>
      </c>
      <c r="T7" s="88">
        <v>193</v>
      </c>
      <c r="U7" s="140">
        <f>193/209</f>
        <v>0.92344497607655507</v>
      </c>
      <c r="V7" s="141">
        <v>7</v>
      </c>
      <c r="W7" s="89">
        <v>256</v>
      </c>
      <c r="X7" s="89">
        <v>248</v>
      </c>
      <c r="Y7" s="143">
        <f>248/256</f>
        <v>0.96875</v>
      </c>
      <c r="Z7" s="295">
        <v>15.6</v>
      </c>
      <c r="AA7" s="135">
        <v>349</v>
      </c>
      <c r="AB7" s="136">
        <v>326</v>
      </c>
      <c r="AC7" s="171">
        <f t="shared" si="3"/>
        <v>0.93409742120343842</v>
      </c>
      <c r="AD7" s="325">
        <v>0.39300000000000002</v>
      </c>
    </row>
    <row r="8" spans="1:30" x14ac:dyDescent="0.2">
      <c r="A8" s="83" t="s">
        <v>22</v>
      </c>
      <c r="B8" s="405" t="s">
        <v>23</v>
      </c>
      <c r="C8" s="86">
        <v>200</v>
      </c>
      <c r="D8" s="86">
        <v>191</v>
      </c>
      <c r="E8" s="171">
        <f t="shared" si="0"/>
        <v>0.95499999999999996</v>
      </c>
      <c r="F8" s="418">
        <v>0.14099999999999999</v>
      </c>
      <c r="G8" s="87">
        <v>224</v>
      </c>
      <c r="H8" s="88">
        <v>219</v>
      </c>
      <c r="I8" s="355">
        <f t="shared" si="1"/>
        <v>0.9776785714285714</v>
      </c>
      <c r="J8" s="224">
        <v>0.24</v>
      </c>
      <c r="K8" s="251">
        <v>243</v>
      </c>
      <c r="L8" s="89">
        <v>235</v>
      </c>
      <c r="M8" s="249">
        <f t="shared" si="2"/>
        <v>0.96707818930041156</v>
      </c>
      <c r="N8" s="224">
        <v>0.218</v>
      </c>
      <c r="O8" s="85">
        <v>205</v>
      </c>
      <c r="P8" s="86">
        <v>194</v>
      </c>
      <c r="Q8" s="101">
        <v>0.94</v>
      </c>
      <c r="R8" s="177">
        <v>0.112</v>
      </c>
      <c r="S8" s="87">
        <v>217</v>
      </c>
      <c r="T8" s="88">
        <v>215</v>
      </c>
      <c r="U8" s="90">
        <f>215/217</f>
        <v>0.99078341013824889</v>
      </c>
      <c r="V8" s="91">
        <v>12</v>
      </c>
      <c r="W8" s="89">
        <v>229</v>
      </c>
      <c r="X8" s="89">
        <v>215</v>
      </c>
      <c r="Y8" s="92">
        <f>215/229</f>
        <v>0.93886462882096067</v>
      </c>
      <c r="Z8" s="295">
        <v>15.7</v>
      </c>
      <c r="AA8" s="135">
        <v>318</v>
      </c>
      <c r="AB8" s="136">
        <v>281</v>
      </c>
      <c r="AC8" s="171">
        <f t="shared" si="3"/>
        <v>0.88364779874213839</v>
      </c>
      <c r="AD8" s="325">
        <v>0.32100000000000001</v>
      </c>
    </row>
    <row r="9" spans="1:30" x14ac:dyDescent="0.2">
      <c r="A9" s="82" t="s">
        <v>24</v>
      </c>
      <c r="B9" s="405" t="s">
        <v>25</v>
      </c>
      <c r="C9" s="86">
        <v>164</v>
      </c>
      <c r="D9" s="86">
        <v>155</v>
      </c>
      <c r="E9" s="171">
        <f t="shared" si="0"/>
        <v>0.94512195121951215</v>
      </c>
      <c r="F9" s="415">
        <v>4.8000000000000001E-2</v>
      </c>
      <c r="G9" s="87">
        <v>183</v>
      </c>
      <c r="H9" s="88">
        <v>177</v>
      </c>
      <c r="I9" s="355">
        <f t="shared" si="1"/>
        <v>0.96721311475409832</v>
      </c>
      <c r="J9" s="357">
        <v>4.7E-2</v>
      </c>
      <c r="K9" s="251">
        <v>203</v>
      </c>
      <c r="L9" s="89">
        <v>187</v>
      </c>
      <c r="M9" s="249">
        <f t="shared" si="2"/>
        <v>0.9211822660098522</v>
      </c>
      <c r="N9" s="224">
        <v>0.161</v>
      </c>
      <c r="O9" s="85">
        <v>161</v>
      </c>
      <c r="P9" s="86">
        <v>159</v>
      </c>
      <c r="Q9" s="101">
        <v>0.98</v>
      </c>
      <c r="R9" s="177">
        <v>9.7000000000000003E-2</v>
      </c>
      <c r="S9" s="138">
        <v>197</v>
      </c>
      <c r="T9" s="139">
        <v>173</v>
      </c>
      <c r="U9" s="90">
        <f>190/197</f>
        <v>0.96446700507614214</v>
      </c>
      <c r="V9" s="93">
        <v>6</v>
      </c>
      <c r="W9" s="89">
        <v>246</v>
      </c>
      <c r="X9" s="89">
        <v>220</v>
      </c>
      <c r="Y9" s="92">
        <f>220/246</f>
        <v>0.89430894308943087</v>
      </c>
      <c r="Z9" s="296">
        <v>8.5</v>
      </c>
      <c r="AA9" s="299">
        <v>283</v>
      </c>
      <c r="AB9" s="294">
        <v>167</v>
      </c>
      <c r="AC9" s="171">
        <f t="shared" si="3"/>
        <v>0.59010600706713778</v>
      </c>
      <c r="AD9" s="326">
        <v>0.26600000000000001</v>
      </c>
    </row>
    <row r="10" spans="1:30" x14ac:dyDescent="0.2">
      <c r="A10" s="83" t="s">
        <v>26</v>
      </c>
      <c r="B10" s="405" t="s">
        <v>27</v>
      </c>
      <c r="C10" s="86">
        <v>288</v>
      </c>
      <c r="D10" s="86">
        <v>263</v>
      </c>
      <c r="E10" s="171">
        <f t="shared" si="0"/>
        <v>0.91319444444444442</v>
      </c>
      <c r="F10" s="418">
        <v>0.20499999999999999</v>
      </c>
      <c r="G10" s="87">
        <v>246</v>
      </c>
      <c r="H10" s="88">
        <v>241</v>
      </c>
      <c r="I10" s="355">
        <f t="shared" si="1"/>
        <v>0.97967479674796742</v>
      </c>
      <c r="J10" s="224">
        <v>0.159</v>
      </c>
      <c r="K10" s="251">
        <v>222</v>
      </c>
      <c r="L10" s="89">
        <v>204</v>
      </c>
      <c r="M10" s="249">
        <f t="shared" si="2"/>
        <v>0.91891891891891897</v>
      </c>
      <c r="N10" s="252">
        <v>0.113</v>
      </c>
      <c r="O10" s="85">
        <v>198</v>
      </c>
      <c r="P10" s="86">
        <v>186</v>
      </c>
      <c r="Q10" s="101">
        <v>0.94</v>
      </c>
      <c r="R10" s="177">
        <v>5.0999999999999997E-2</v>
      </c>
      <c r="S10" s="87">
        <v>200</v>
      </c>
      <c r="T10" s="88">
        <v>112</v>
      </c>
      <c r="U10" s="94">
        <v>0.56000000000000005</v>
      </c>
      <c r="V10" s="95"/>
      <c r="W10" s="89"/>
      <c r="X10" s="89"/>
      <c r="Y10" s="92"/>
      <c r="Z10" s="142"/>
      <c r="AA10" s="135">
        <v>273</v>
      </c>
      <c r="AB10" s="136">
        <v>241</v>
      </c>
      <c r="AC10" s="171">
        <f t="shared" si="3"/>
        <v>0.88278388278388276</v>
      </c>
      <c r="AD10" s="325">
        <v>0.31900000000000001</v>
      </c>
    </row>
    <row r="11" spans="1:30" x14ac:dyDescent="0.2">
      <c r="A11" s="83" t="s">
        <v>28</v>
      </c>
      <c r="B11" s="405" t="s">
        <v>29</v>
      </c>
      <c r="C11" s="86">
        <v>236</v>
      </c>
      <c r="D11" s="86">
        <v>218</v>
      </c>
      <c r="E11" s="171">
        <f t="shared" si="0"/>
        <v>0.92372881355932202</v>
      </c>
      <c r="F11" s="418">
        <v>0.186</v>
      </c>
      <c r="G11" s="87">
        <v>248</v>
      </c>
      <c r="H11" s="88">
        <v>232</v>
      </c>
      <c r="I11" s="355">
        <f t="shared" ref="I11:I19" si="4">H11/G11</f>
        <v>0.93548387096774188</v>
      </c>
      <c r="J11" s="396">
        <v>0.14599999999999999</v>
      </c>
      <c r="K11" s="251">
        <v>192</v>
      </c>
      <c r="L11" s="89">
        <v>174</v>
      </c>
      <c r="M11" s="249">
        <f t="shared" si="2"/>
        <v>0.90625</v>
      </c>
      <c r="N11" s="254">
        <v>8.8999999999999996E-2</v>
      </c>
      <c r="O11" s="85">
        <v>198</v>
      </c>
      <c r="P11" s="86">
        <v>182</v>
      </c>
      <c r="Q11" s="101">
        <v>0.92</v>
      </c>
      <c r="R11" s="224">
        <v>0.151</v>
      </c>
      <c r="S11" s="87"/>
      <c r="T11" s="88"/>
      <c r="U11" s="90"/>
      <c r="V11" s="91"/>
      <c r="W11" s="89"/>
      <c r="X11" s="89"/>
      <c r="Y11" s="92"/>
      <c r="Z11" s="142"/>
      <c r="AA11" s="135"/>
      <c r="AB11" s="136"/>
      <c r="AC11" s="171"/>
      <c r="AD11" s="322"/>
    </row>
    <row r="12" spans="1:30" x14ac:dyDescent="0.2">
      <c r="A12" s="83" t="s">
        <v>30</v>
      </c>
      <c r="B12" s="405" t="s">
        <v>31</v>
      </c>
      <c r="C12" s="86">
        <v>237</v>
      </c>
      <c r="D12" s="86">
        <v>223</v>
      </c>
      <c r="E12" s="171">
        <f t="shared" si="0"/>
        <v>0.94092827004219415</v>
      </c>
      <c r="F12" s="101">
        <v>0.08</v>
      </c>
      <c r="G12" s="87">
        <v>211</v>
      </c>
      <c r="H12" s="88">
        <v>194</v>
      </c>
      <c r="I12" s="355">
        <f t="shared" si="4"/>
        <v>0.91943127962085303</v>
      </c>
      <c r="J12" s="357">
        <v>2.8000000000000001E-2</v>
      </c>
      <c r="K12" s="251">
        <v>189</v>
      </c>
      <c r="L12" s="89">
        <v>179</v>
      </c>
      <c r="M12" s="249">
        <f t="shared" si="2"/>
        <v>0.94708994708994709</v>
      </c>
      <c r="N12" s="252">
        <v>6.9000000000000006E-2</v>
      </c>
      <c r="O12" s="85">
        <v>199</v>
      </c>
      <c r="P12" s="86">
        <v>185</v>
      </c>
      <c r="Q12" s="101">
        <v>0.93</v>
      </c>
      <c r="R12" s="177">
        <v>3.5000000000000003E-2</v>
      </c>
      <c r="S12" s="87">
        <v>433</v>
      </c>
      <c r="T12" s="88">
        <v>420</v>
      </c>
      <c r="U12" s="90">
        <f>402/433</f>
        <v>0.92840646651270209</v>
      </c>
      <c r="V12" s="91">
        <v>6.9</v>
      </c>
      <c r="W12" s="89">
        <v>194</v>
      </c>
      <c r="X12" s="89">
        <v>187</v>
      </c>
      <c r="Y12" s="92">
        <f>187/194</f>
        <v>0.96391752577319589</v>
      </c>
      <c r="Z12" s="142">
        <v>4.5999999999999996</v>
      </c>
      <c r="AA12" s="135">
        <v>182</v>
      </c>
      <c r="AB12" s="136">
        <v>166</v>
      </c>
      <c r="AC12" s="171">
        <f t="shared" si="3"/>
        <v>0.91208791208791207</v>
      </c>
      <c r="AD12" s="322">
        <v>0.06</v>
      </c>
    </row>
    <row r="13" spans="1:30" x14ac:dyDescent="0.2">
      <c r="A13" s="83" t="s">
        <v>32</v>
      </c>
      <c r="B13" s="405" t="s">
        <v>33</v>
      </c>
      <c r="C13" s="86">
        <v>162</v>
      </c>
      <c r="D13" s="86">
        <v>153</v>
      </c>
      <c r="E13" s="171">
        <f t="shared" si="0"/>
        <v>0.94444444444444442</v>
      </c>
      <c r="F13" s="415">
        <v>0.112</v>
      </c>
      <c r="G13" s="87">
        <v>192</v>
      </c>
      <c r="H13" s="88">
        <v>177</v>
      </c>
      <c r="I13" s="355">
        <f t="shared" si="4"/>
        <v>0.921875</v>
      </c>
      <c r="J13" s="95">
        <v>0.188</v>
      </c>
      <c r="K13" s="251">
        <v>189</v>
      </c>
      <c r="L13" s="89">
        <v>169</v>
      </c>
      <c r="M13" s="249">
        <f t="shared" si="2"/>
        <v>0.89417989417989419</v>
      </c>
      <c r="N13" s="253">
        <v>0.191</v>
      </c>
      <c r="O13" s="85">
        <v>249</v>
      </c>
      <c r="P13" s="86">
        <v>223</v>
      </c>
      <c r="Q13" s="101">
        <v>0.89</v>
      </c>
      <c r="R13" s="226">
        <v>0.21</v>
      </c>
      <c r="S13" s="87">
        <v>256</v>
      </c>
      <c r="T13" s="88">
        <v>228</v>
      </c>
      <c r="U13" s="90">
        <f>228/256</f>
        <v>0.890625</v>
      </c>
      <c r="V13" s="91">
        <v>11.3</v>
      </c>
      <c r="W13" s="89">
        <v>308</v>
      </c>
      <c r="X13" s="89">
        <v>299</v>
      </c>
      <c r="Y13" s="92">
        <f>299/308</f>
        <v>0.97077922077922074</v>
      </c>
      <c r="Z13" s="295">
        <v>14.4</v>
      </c>
      <c r="AA13" s="135">
        <v>210</v>
      </c>
      <c r="AB13" s="136">
        <v>182</v>
      </c>
      <c r="AC13" s="171">
        <f t="shared" si="3"/>
        <v>0.8666666666666667</v>
      </c>
      <c r="AD13" s="322">
        <v>0.12</v>
      </c>
    </row>
    <row r="14" spans="1:30" x14ac:dyDescent="0.2">
      <c r="A14" s="83" t="s">
        <v>34</v>
      </c>
      <c r="B14" s="405" t="s">
        <v>35</v>
      </c>
      <c r="C14" s="86">
        <v>227</v>
      </c>
      <c r="D14" s="86">
        <v>211</v>
      </c>
      <c r="E14" s="171">
        <f t="shared" si="0"/>
        <v>0.92951541850220265</v>
      </c>
      <c r="F14" s="415">
        <v>6.6000000000000003E-2</v>
      </c>
      <c r="G14" s="87">
        <v>201</v>
      </c>
      <c r="H14" s="88">
        <v>191</v>
      </c>
      <c r="I14" s="355">
        <f t="shared" si="4"/>
        <v>0.95024875621890548</v>
      </c>
      <c r="J14" s="95"/>
      <c r="K14" s="251"/>
      <c r="L14" s="89"/>
      <c r="M14" s="249"/>
      <c r="N14" s="253"/>
      <c r="O14" s="85"/>
      <c r="P14" s="86"/>
      <c r="Q14" s="101"/>
      <c r="R14" s="86"/>
      <c r="S14" s="87"/>
      <c r="T14" s="88"/>
      <c r="U14" s="90"/>
      <c r="V14" s="91"/>
      <c r="W14" s="89"/>
      <c r="X14" s="89"/>
      <c r="Y14" s="92"/>
      <c r="Z14" s="92"/>
      <c r="AA14" s="135"/>
      <c r="AB14" s="136"/>
      <c r="AC14" s="171"/>
      <c r="AD14" s="322"/>
    </row>
    <row r="15" spans="1:30" x14ac:dyDescent="0.2">
      <c r="A15" s="83" t="s">
        <v>36</v>
      </c>
      <c r="B15" s="405" t="s">
        <v>37</v>
      </c>
      <c r="C15" s="86">
        <v>274</v>
      </c>
      <c r="D15" s="86">
        <v>259</v>
      </c>
      <c r="E15" s="171">
        <f t="shared" si="0"/>
        <v>0.94525547445255476</v>
      </c>
      <c r="F15" s="415">
        <v>0.10199999999999999</v>
      </c>
      <c r="G15" s="87">
        <v>196</v>
      </c>
      <c r="H15" s="88">
        <v>190</v>
      </c>
      <c r="I15" s="355">
        <f t="shared" si="4"/>
        <v>0.96938775510204078</v>
      </c>
      <c r="J15" s="95"/>
      <c r="K15" s="251"/>
      <c r="L15" s="89"/>
      <c r="M15" s="249"/>
      <c r="N15" s="253"/>
      <c r="O15" s="85"/>
      <c r="P15" s="86"/>
      <c r="Q15" s="101"/>
      <c r="R15" s="101"/>
      <c r="S15" s="87"/>
      <c r="T15" s="88"/>
      <c r="U15" s="90"/>
      <c r="V15" s="91"/>
      <c r="W15" s="89"/>
      <c r="X15" s="89"/>
      <c r="Y15" s="92"/>
      <c r="Z15" s="92"/>
      <c r="AA15" s="135"/>
      <c r="AB15" s="136"/>
      <c r="AC15" s="171"/>
      <c r="AD15" s="322"/>
    </row>
    <row r="16" spans="1:30" x14ac:dyDescent="0.2">
      <c r="A16" s="83" t="s">
        <v>38</v>
      </c>
      <c r="B16" s="405" t="s">
        <v>39</v>
      </c>
      <c r="C16" s="86"/>
      <c r="D16" s="86"/>
      <c r="E16" s="171"/>
      <c r="F16" s="136"/>
      <c r="G16" s="87">
        <v>98</v>
      </c>
      <c r="H16" s="88">
        <v>85</v>
      </c>
      <c r="I16" s="355">
        <f t="shared" si="4"/>
        <v>0.86734693877551017</v>
      </c>
      <c r="J16" s="224">
        <v>0.63300000000000001</v>
      </c>
      <c r="K16" s="251">
        <v>276</v>
      </c>
      <c r="L16" s="89">
        <v>255</v>
      </c>
      <c r="M16" s="249">
        <f t="shared" si="2"/>
        <v>0.92391304347826086</v>
      </c>
      <c r="N16" s="224">
        <v>0.18099999999999999</v>
      </c>
      <c r="O16" s="85">
        <v>285</v>
      </c>
      <c r="P16" s="86">
        <v>266</v>
      </c>
      <c r="Q16" s="101">
        <v>0.93</v>
      </c>
      <c r="R16" s="224">
        <v>0.24199999999999999</v>
      </c>
      <c r="S16" s="87">
        <v>293</v>
      </c>
      <c r="T16" s="88">
        <v>228</v>
      </c>
      <c r="U16" s="90">
        <f>228/293</f>
        <v>0.77815699658703075</v>
      </c>
      <c r="V16" s="225">
        <v>17.3</v>
      </c>
      <c r="W16" s="89">
        <v>292</v>
      </c>
      <c r="X16" s="89">
        <v>279</v>
      </c>
      <c r="Y16" s="92">
        <f>279/292</f>
        <v>0.95547945205479456</v>
      </c>
      <c r="Z16" s="295">
        <v>13.4</v>
      </c>
      <c r="AA16" s="135">
        <v>270</v>
      </c>
      <c r="AB16" s="136">
        <v>247</v>
      </c>
      <c r="AC16" s="171">
        <f t="shared" si="3"/>
        <v>0.91481481481481486</v>
      </c>
      <c r="AD16" s="325">
        <v>0.182</v>
      </c>
    </row>
    <row r="17" spans="1:41" x14ac:dyDescent="0.2">
      <c r="A17" s="83" t="s">
        <v>40</v>
      </c>
      <c r="B17" s="405" t="s">
        <v>41</v>
      </c>
      <c r="C17" s="86">
        <v>83</v>
      </c>
      <c r="D17" s="86">
        <v>74</v>
      </c>
      <c r="E17" s="171">
        <f t="shared" si="0"/>
        <v>0.89156626506024095</v>
      </c>
      <c r="F17" s="101">
        <v>0.06</v>
      </c>
      <c r="G17" s="87">
        <v>91</v>
      </c>
      <c r="H17" s="88">
        <v>82</v>
      </c>
      <c r="I17" s="355">
        <f t="shared" si="4"/>
        <v>0.90109890109890112</v>
      </c>
      <c r="J17" s="357">
        <v>2.1999999999999999E-2</v>
      </c>
      <c r="K17" s="251">
        <v>84</v>
      </c>
      <c r="L17" s="89">
        <v>77</v>
      </c>
      <c r="M17" s="249">
        <f t="shared" si="2"/>
        <v>0.91666666666666663</v>
      </c>
      <c r="N17" s="252">
        <v>1.2E-2</v>
      </c>
      <c r="O17" s="85">
        <v>249</v>
      </c>
      <c r="P17" s="86">
        <v>223</v>
      </c>
      <c r="Q17" s="101">
        <v>0.89</v>
      </c>
      <c r="R17" s="177">
        <v>3.3000000000000002E-2</v>
      </c>
      <c r="S17" s="87">
        <v>113</v>
      </c>
      <c r="T17" s="88">
        <v>99</v>
      </c>
      <c r="U17" s="140">
        <f>99/113</f>
        <v>0.87610619469026552</v>
      </c>
      <c r="V17" s="141">
        <v>11.5</v>
      </c>
      <c r="W17" s="142">
        <v>135</v>
      </c>
      <c r="X17" s="142">
        <v>129</v>
      </c>
      <c r="Y17" s="143">
        <f>129/135</f>
        <v>0.9555555555555556</v>
      </c>
      <c r="Z17" s="142">
        <v>6.8</v>
      </c>
      <c r="AA17" s="135">
        <v>73</v>
      </c>
      <c r="AB17" s="136">
        <v>62</v>
      </c>
      <c r="AC17" s="171">
        <f t="shared" si="3"/>
        <v>0.84931506849315064</v>
      </c>
      <c r="AD17" s="322">
        <v>6.8000000000000005E-2</v>
      </c>
    </row>
    <row r="18" spans="1:41" x14ac:dyDescent="0.2">
      <c r="A18" s="83" t="s">
        <v>42</v>
      </c>
      <c r="B18" s="405" t="s">
        <v>43</v>
      </c>
      <c r="C18" s="86">
        <v>104</v>
      </c>
      <c r="D18" s="86">
        <v>92</v>
      </c>
      <c r="E18" s="171">
        <f t="shared" si="0"/>
        <v>0.88461538461538458</v>
      </c>
      <c r="F18" s="415">
        <v>5.8999999999999997E-2</v>
      </c>
      <c r="G18" s="87">
        <v>63</v>
      </c>
      <c r="H18" s="88">
        <v>55</v>
      </c>
      <c r="I18" s="355">
        <f t="shared" si="4"/>
        <v>0.87301587301587302</v>
      </c>
      <c r="J18" s="357">
        <v>0</v>
      </c>
      <c r="K18" s="251">
        <v>55</v>
      </c>
      <c r="L18" s="89">
        <v>52</v>
      </c>
      <c r="M18" s="249">
        <f t="shared" si="2"/>
        <v>0.94545454545454544</v>
      </c>
      <c r="N18" s="252">
        <v>3.5999999999999997E-2</v>
      </c>
      <c r="O18" s="85">
        <v>60</v>
      </c>
      <c r="P18" s="86">
        <v>57</v>
      </c>
      <c r="Q18" s="101">
        <v>0.95</v>
      </c>
      <c r="R18" s="177">
        <v>3.4000000000000002E-2</v>
      </c>
      <c r="S18" s="87">
        <v>74</v>
      </c>
      <c r="T18" s="88">
        <v>73</v>
      </c>
      <c r="U18" s="90">
        <f>73/74</f>
        <v>0.98648648648648651</v>
      </c>
      <c r="V18" s="91">
        <v>4.0999999999999996</v>
      </c>
      <c r="W18" s="89">
        <v>153</v>
      </c>
      <c r="X18" s="89">
        <v>141</v>
      </c>
      <c r="Y18" s="92">
        <f>141/153</f>
        <v>0.92156862745098034</v>
      </c>
      <c r="Z18" s="142">
        <v>3.9</v>
      </c>
      <c r="AA18" s="135">
        <v>97</v>
      </c>
      <c r="AB18" s="136">
        <v>86</v>
      </c>
      <c r="AC18" s="171">
        <f t="shared" si="3"/>
        <v>0.88659793814432986</v>
      </c>
      <c r="AD18" s="322">
        <v>2.1000000000000001E-2</v>
      </c>
    </row>
    <row r="19" spans="1:41" ht="13.5" thickBot="1" x14ac:dyDescent="0.25">
      <c r="A19" s="406" t="s">
        <v>44</v>
      </c>
      <c r="B19" s="407" t="s">
        <v>45</v>
      </c>
      <c r="C19" s="86">
        <v>45</v>
      </c>
      <c r="D19" s="86">
        <v>34</v>
      </c>
      <c r="E19" s="171">
        <f t="shared" si="0"/>
        <v>0.75555555555555554</v>
      </c>
      <c r="F19" s="86">
        <v>0</v>
      </c>
      <c r="G19" s="87">
        <v>20</v>
      </c>
      <c r="H19" s="88">
        <v>15</v>
      </c>
      <c r="I19" s="355">
        <f t="shared" si="4"/>
        <v>0.75</v>
      </c>
      <c r="J19" s="395">
        <v>0.05</v>
      </c>
      <c r="K19" s="251">
        <v>37</v>
      </c>
      <c r="L19" s="89">
        <v>29</v>
      </c>
      <c r="M19" s="249">
        <f t="shared" si="2"/>
        <v>0.78378378378378377</v>
      </c>
      <c r="N19" s="144">
        <v>0</v>
      </c>
      <c r="O19" s="85">
        <v>49</v>
      </c>
      <c r="P19" s="86">
        <v>36</v>
      </c>
      <c r="Q19" s="101">
        <v>0.74</v>
      </c>
      <c r="R19" s="177">
        <v>4.1000000000000002E-2</v>
      </c>
      <c r="S19" s="87">
        <v>75</v>
      </c>
      <c r="T19" s="88">
        <v>58</v>
      </c>
      <c r="U19" s="140">
        <f>58/75</f>
        <v>0.77333333333333332</v>
      </c>
      <c r="V19" s="141">
        <v>4</v>
      </c>
      <c r="W19" s="142">
        <v>68</v>
      </c>
      <c r="X19" s="142">
        <v>58</v>
      </c>
      <c r="Y19" s="143">
        <f>58/68</f>
        <v>0.8529411764705882</v>
      </c>
      <c r="Z19" s="142">
        <v>7.5</v>
      </c>
      <c r="AA19" s="300">
        <v>52</v>
      </c>
      <c r="AB19" s="267">
        <v>41</v>
      </c>
      <c r="AC19" s="301">
        <f t="shared" si="3"/>
        <v>0.78846153846153844</v>
      </c>
      <c r="AD19" s="323"/>
    </row>
    <row r="20" spans="1:41" ht="13.5" thickBot="1" x14ac:dyDescent="0.25">
      <c r="A20" s="120"/>
      <c r="B20" s="231" t="s">
        <v>46</v>
      </c>
      <c r="C20" s="107">
        <f>SUM(C5:C19)</f>
        <v>2645</v>
      </c>
      <c r="D20" s="107">
        <f>SUM(D5:D19)</f>
        <v>2440</v>
      </c>
      <c r="E20" s="174">
        <f>SUM(E5:E19)/14</f>
        <v>0.91102718670170568</v>
      </c>
      <c r="F20" s="419">
        <f>SUM(F5:F19)/14</f>
        <v>8.7500000000000008E-2</v>
      </c>
      <c r="G20" s="358">
        <f>SUM(G5:G19)</f>
        <v>2652</v>
      </c>
      <c r="H20" s="118">
        <f>SUM(H5:H19)</f>
        <v>2486</v>
      </c>
      <c r="I20" s="359">
        <f>(SUM(I5:I19)/15)</f>
        <v>0.91928805877282294</v>
      </c>
      <c r="J20" s="360">
        <f>(SUM(J5:J19)/13)</f>
        <v>0.12853846153846155</v>
      </c>
      <c r="K20" s="255">
        <f>SUM(K5:K19)</f>
        <v>2340</v>
      </c>
      <c r="L20" s="108">
        <f>SUM(L5:L19)</f>
        <v>2170</v>
      </c>
      <c r="M20" s="256">
        <f>(SUM(M5:M19)/13)</f>
        <v>0.91804263418075771</v>
      </c>
      <c r="N20" s="335">
        <f>(SUM(N6:N19)/13)</f>
        <v>9.3615384615384628E-2</v>
      </c>
      <c r="O20" s="107">
        <f>SUM(O5:O19)</f>
        <v>2519</v>
      </c>
      <c r="P20" s="107">
        <f>SUM(P5:P19)</f>
        <v>2343</v>
      </c>
      <c r="Q20" s="174">
        <v>0.93</v>
      </c>
      <c r="R20" s="327">
        <f>(SUM(R6:R19)/13)</f>
        <v>9.3769230769230758E-2</v>
      </c>
      <c r="S20" s="129">
        <f>SUM(S5:S19)</f>
        <v>2492</v>
      </c>
      <c r="T20" s="170">
        <f>SUM(T5:T19)</f>
        <v>2211</v>
      </c>
      <c r="U20" s="172">
        <f>2448/2742</f>
        <v>0.89277899343544853</v>
      </c>
      <c r="V20" s="173">
        <v>8.5000000000000006E-2</v>
      </c>
      <c r="W20" s="238">
        <v>3028</v>
      </c>
      <c r="X20" s="125">
        <v>2846</v>
      </c>
      <c r="Y20" s="126">
        <f>2846/3028</f>
        <v>0.939894319682959</v>
      </c>
      <c r="Z20" s="334">
        <f>(SUM(Z5:Z19)/12)</f>
        <v>8.8583333333333343</v>
      </c>
      <c r="AA20" s="303">
        <f>SUM(AA5:AA19)</f>
        <v>2829</v>
      </c>
      <c r="AB20" s="122">
        <f>SUM(AB5:AB19)</f>
        <v>2440</v>
      </c>
      <c r="AC20" s="178">
        <f>(SUM(AC5:AC19)/13)</f>
        <v>0.79118692668683954</v>
      </c>
      <c r="AD20" s="333">
        <f>(SUM(AD5:AD19)/12)</f>
        <v>0.19833333333333333</v>
      </c>
    </row>
    <row r="21" spans="1:41" x14ac:dyDescent="0.2">
      <c r="B21" s="96"/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227"/>
      <c r="R21" s="96"/>
      <c r="S21" s="97"/>
      <c r="T21" s="97"/>
      <c r="U21" s="111"/>
      <c r="V21" s="111"/>
      <c r="W21" s="97"/>
      <c r="X21" s="97"/>
      <c r="Y21" s="111"/>
    </row>
    <row r="22" spans="1:41" ht="13.5" thickBot="1" x14ac:dyDescent="0.25">
      <c r="A22" s="97"/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U22" s="146"/>
      <c r="V22" s="146"/>
      <c r="Y22" s="146"/>
    </row>
    <row r="23" spans="1:41" ht="13.5" thickBot="1" x14ac:dyDescent="0.25">
      <c r="A23" s="127" t="s">
        <v>47</v>
      </c>
      <c r="B23" s="262"/>
      <c r="C23" s="181" t="s">
        <v>48</v>
      </c>
      <c r="D23" s="181" t="s">
        <v>11</v>
      </c>
      <c r="E23" s="181" t="s">
        <v>12</v>
      </c>
      <c r="F23" s="297"/>
      <c r="G23" s="238" t="s">
        <v>10</v>
      </c>
      <c r="H23" s="125" t="s">
        <v>11</v>
      </c>
      <c r="I23" s="125" t="s">
        <v>12</v>
      </c>
      <c r="J23" s="151"/>
      <c r="K23" s="238" t="s">
        <v>10</v>
      </c>
      <c r="L23" s="125" t="s">
        <v>11</v>
      </c>
      <c r="M23" s="125" t="s">
        <v>12</v>
      </c>
      <c r="N23" s="151"/>
      <c r="O23" s="122" t="s">
        <v>10</v>
      </c>
      <c r="P23" s="122" t="s">
        <v>11</v>
      </c>
      <c r="Q23" s="122" t="s">
        <v>12</v>
      </c>
      <c r="R23" s="121"/>
      <c r="S23" s="129" t="s">
        <v>14</v>
      </c>
      <c r="T23" s="130" t="s">
        <v>11</v>
      </c>
      <c r="U23" s="131" t="s">
        <v>12</v>
      </c>
      <c r="V23" s="132"/>
      <c r="W23" s="125" t="s">
        <v>14</v>
      </c>
      <c r="X23" s="133" t="s">
        <v>11</v>
      </c>
      <c r="Y23" s="134" t="s">
        <v>12</v>
      </c>
      <c r="Z23" s="148"/>
      <c r="AA23" s="303" t="s">
        <v>14</v>
      </c>
      <c r="AB23" s="222" t="s">
        <v>11</v>
      </c>
      <c r="AC23" s="293" t="s">
        <v>12</v>
      </c>
      <c r="AD23" s="304" t="s">
        <v>13</v>
      </c>
      <c r="AE23" s="97"/>
      <c r="AG23" s="97"/>
      <c r="AH23" s="98"/>
      <c r="AI23" s="99"/>
      <c r="AJ23" s="97"/>
      <c r="AM23" s="97"/>
      <c r="AN23" s="98"/>
      <c r="AO23" s="99"/>
    </row>
    <row r="24" spans="1:41" x14ac:dyDescent="0.2">
      <c r="A24" s="81" t="s">
        <v>49</v>
      </c>
      <c r="B24" s="82" t="s">
        <v>50</v>
      </c>
      <c r="C24" s="417">
        <v>81</v>
      </c>
      <c r="D24" s="421">
        <v>51</v>
      </c>
      <c r="E24" s="422">
        <f>D24/C24</f>
        <v>0.62962962962962965</v>
      </c>
      <c r="F24" s="423"/>
      <c r="G24" s="89">
        <v>107</v>
      </c>
      <c r="H24" s="89">
        <v>47</v>
      </c>
      <c r="I24" s="237">
        <f>H24/G24</f>
        <v>0.43925233644859812</v>
      </c>
      <c r="J24" s="259"/>
      <c r="K24" s="251">
        <v>107</v>
      </c>
      <c r="L24" s="89">
        <v>61</v>
      </c>
      <c r="M24" s="237">
        <f>L24/K24</f>
        <v>0.57009345794392519</v>
      </c>
      <c r="N24" s="259"/>
      <c r="O24" s="86">
        <v>211</v>
      </c>
      <c r="P24" s="86">
        <v>88</v>
      </c>
      <c r="Q24" s="86">
        <v>42</v>
      </c>
      <c r="R24" s="86"/>
      <c r="S24" s="87">
        <v>209</v>
      </c>
      <c r="T24" s="88">
        <v>110</v>
      </c>
      <c r="U24" s="88">
        <v>52</v>
      </c>
      <c r="V24" s="188"/>
      <c r="W24" s="89">
        <v>182</v>
      </c>
      <c r="X24" s="89">
        <v>109</v>
      </c>
      <c r="Y24" s="92">
        <f>109/182</f>
        <v>0.59890109890109888</v>
      </c>
      <c r="Z24" s="92"/>
      <c r="AA24" s="305">
        <v>132</v>
      </c>
      <c r="AB24" s="306">
        <v>56</v>
      </c>
      <c r="AC24" s="307">
        <f t="shared" ref="AC24:AC42" si="5">AB24/AA24</f>
        <v>0.42424242424242425</v>
      </c>
      <c r="AD24" s="308"/>
    </row>
    <row r="25" spans="1:41" x14ac:dyDescent="0.2">
      <c r="A25" s="81" t="s">
        <v>51</v>
      </c>
      <c r="B25" s="82" t="s">
        <v>52</v>
      </c>
      <c r="C25" s="85">
        <v>86</v>
      </c>
      <c r="D25" s="86">
        <v>34</v>
      </c>
      <c r="E25" s="101">
        <f t="shared" ref="E25:E42" si="6">D25/C25</f>
        <v>0.39534883720930231</v>
      </c>
      <c r="F25" s="387"/>
      <c r="G25" s="89">
        <v>95</v>
      </c>
      <c r="H25" s="89">
        <v>51</v>
      </c>
      <c r="I25" s="237">
        <f>H25/G25</f>
        <v>0.5368421052631579</v>
      </c>
      <c r="J25" s="259"/>
      <c r="K25" s="251"/>
      <c r="L25" s="89"/>
      <c r="M25" s="237"/>
      <c r="N25" s="259"/>
      <c r="O25" s="86"/>
      <c r="P25" s="86"/>
      <c r="Q25" s="86"/>
      <c r="R25" s="86"/>
      <c r="S25" s="87"/>
      <c r="T25" s="88"/>
      <c r="U25" s="88"/>
      <c r="V25" s="188"/>
      <c r="W25" s="89"/>
      <c r="X25" s="89"/>
      <c r="Y25" s="92"/>
      <c r="Z25" s="92"/>
      <c r="AA25" s="305"/>
      <c r="AB25" s="306"/>
      <c r="AC25" s="307"/>
      <c r="AD25" s="308"/>
    </row>
    <row r="26" spans="1:41" x14ac:dyDescent="0.2">
      <c r="A26" s="82" t="s">
        <v>53</v>
      </c>
      <c r="B26" s="82" t="s">
        <v>54</v>
      </c>
      <c r="C26" s="85">
        <v>77</v>
      </c>
      <c r="D26" s="86">
        <v>34</v>
      </c>
      <c r="E26" s="101">
        <f t="shared" si="6"/>
        <v>0.44155844155844154</v>
      </c>
      <c r="F26" s="387"/>
      <c r="G26" s="89">
        <v>80</v>
      </c>
      <c r="H26" s="89">
        <v>42</v>
      </c>
      <c r="I26" s="237">
        <f t="shared" ref="I26:I29" si="7">H26/G26</f>
        <v>0.52500000000000002</v>
      </c>
      <c r="J26" s="259"/>
      <c r="K26" s="251">
        <v>60</v>
      </c>
      <c r="L26" s="89">
        <v>27</v>
      </c>
      <c r="M26" s="237">
        <f t="shared" ref="M26:M42" si="8">L26/K26</f>
        <v>0.45</v>
      </c>
      <c r="N26" s="259"/>
      <c r="O26" s="86">
        <v>120</v>
      </c>
      <c r="P26" s="86">
        <v>72</v>
      </c>
      <c r="Q26" s="86">
        <v>60</v>
      </c>
      <c r="R26" s="86"/>
      <c r="S26" s="87">
        <v>132</v>
      </c>
      <c r="T26" s="88">
        <v>71</v>
      </c>
      <c r="U26" s="88">
        <v>54</v>
      </c>
      <c r="V26" s="188"/>
      <c r="W26" s="89">
        <v>112</v>
      </c>
      <c r="X26" s="89">
        <v>60</v>
      </c>
      <c r="Y26" s="92">
        <f>60/112</f>
        <v>0.5357142857142857</v>
      </c>
      <c r="Z26" s="92"/>
      <c r="AA26" s="305">
        <v>115</v>
      </c>
      <c r="AB26" s="306">
        <v>57</v>
      </c>
      <c r="AC26" s="307">
        <f t="shared" si="5"/>
        <v>0.4956521739130435</v>
      </c>
      <c r="AD26" s="308"/>
    </row>
    <row r="27" spans="1:41" x14ac:dyDescent="0.2">
      <c r="A27" s="82" t="s">
        <v>55</v>
      </c>
      <c r="B27" s="82" t="s">
        <v>56</v>
      </c>
      <c r="C27" s="85">
        <v>77</v>
      </c>
      <c r="D27" s="86">
        <v>54</v>
      </c>
      <c r="E27" s="101">
        <f t="shared" si="6"/>
        <v>0.70129870129870131</v>
      </c>
      <c r="F27" s="387"/>
      <c r="G27" s="89">
        <v>72</v>
      </c>
      <c r="H27" s="89">
        <v>61</v>
      </c>
      <c r="I27" s="237">
        <f t="shared" si="7"/>
        <v>0.84722222222222221</v>
      </c>
      <c r="J27" s="259"/>
      <c r="K27" s="251">
        <v>80</v>
      </c>
      <c r="L27" s="89">
        <v>56</v>
      </c>
      <c r="M27" s="237">
        <f t="shared" si="8"/>
        <v>0.7</v>
      </c>
      <c r="N27" s="259"/>
      <c r="O27" s="86">
        <v>55</v>
      </c>
      <c r="P27" s="86">
        <v>41</v>
      </c>
      <c r="Q27" s="86">
        <v>74</v>
      </c>
      <c r="R27" s="86"/>
      <c r="S27" s="87">
        <v>99</v>
      </c>
      <c r="T27" s="88">
        <v>54</v>
      </c>
      <c r="U27" s="88">
        <v>54.5</v>
      </c>
      <c r="V27" s="188"/>
      <c r="W27" s="89">
        <v>72</v>
      </c>
      <c r="X27" s="89">
        <v>33</v>
      </c>
      <c r="Y27" s="92">
        <f>33/72</f>
        <v>0.45833333333333331</v>
      </c>
      <c r="Z27" s="92"/>
      <c r="AA27" s="305">
        <v>74</v>
      </c>
      <c r="AB27" s="306">
        <v>39</v>
      </c>
      <c r="AC27" s="307">
        <f t="shared" si="5"/>
        <v>0.52702702702702697</v>
      </c>
      <c r="AD27" s="308"/>
    </row>
    <row r="28" spans="1:41" x14ac:dyDescent="0.2">
      <c r="A28" s="82" t="s">
        <v>57</v>
      </c>
      <c r="B28" s="82" t="s">
        <v>58</v>
      </c>
      <c r="C28" s="85">
        <v>59</v>
      </c>
      <c r="D28" s="86">
        <v>33</v>
      </c>
      <c r="E28" s="101">
        <f t="shared" si="6"/>
        <v>0.55932203389830504</v>
      </c>
      <c r="F28" s="387"/>
      <c r="G28" s="89">
        <v>46</v>
      </c>
      <c r="H28" s="89">
        <v>30</v>
      </c>
      <c r="I28" s="237">
        <f t="shared" si="7"/>
        <v>0.65217391304347827</v>
      </c>
      <c r="J28" s="259"/>
      <c r="K28" s="251">
        <v>32</v>
      </c>
      <c r="L28" s="89">
        <v>20</v>
      </c>
      <c r="M28" s="237">
        <f t="shared" si="8"/>
        <v>0.625</v>
      </c>
      <c r="N28" s="259"/>
      <c r="O28" s="86">
        <v>56</v>
      </c>
      <c r="P28" s="86">
        <v>27</v>
      </c>
      <c r="Q28" s="86">
        <v>48</v>
      </c>
      <c r="R28" s="86"/>
      <c r="S28" s="87">
        <v>17</v>
      </c>
      <c r="T28" s="88">
        <v>2</v>
      </c>
      <c r="U28" s="94">
        <v>0.12</v>
      </c>
      <c r="V28" s="95"/>
      <c r="W28" s="89"/>
      <c r="X28" s="89"/>
      <c r="Y28" s="92"/>
      <c r="Z28" s="92"/>
      <c r="AA28" s="305"/>
      <c r="AB28" s="306"/>
      <c r="AC28" s="307"/>
      <c r="AD28" s="308"/>
    </row>
    <row r="29" spans="1:41" x14ac:dyDescent="0.2">
      <c r="A29" s="82" t="s">
        <v>59</v>
      </c>
      <c r="B29" s="82" t="s">
        <v>60</v>
      </c>
      <c r="C29" s="85">
        <v>60</v>
      </c>
      <c r="D29" s="86">
        <v>26</v>
      </c>
      <c r="E29" s="101">
        <f t="shared" si="6"/>
        <v>0.43333333333333335</v>
      </c>
      <c r="F29" s="387"/>
      <c r="G29" s="89">
        <v>40</v>
      </c>
      <c r="H29" s="89">
        <v>23</v>
      </c>
      <c r="I29" s="237">
        <f t="shared" si="7"/>
        <v>0.57499999999999996</v>
      </c>
      <c r="J29" s="259"/>
      <c r="K29" s="251"/>
      <c r="L29" s="89"/>
      <c r="M29" s="237"/>
      <c r="N29" s="259"/>
      <c r="O29" s="86"/>
      <c r="P29" s="86"/>
      <c r="Q29" s="86"/>
      <c r="R29" s="86"/>
      <c r="S29" s="87"/>
      <c r="T29" s="88"/>
      <c r="U29" s="94"/>
      <c r="V29" s="95"/>
      <c r="W29" s="89"/>
      <c r="X29" s="89"/>
      <c r="Y29" s="92"/>
      <c r="Z29" s="92"/>
      <c r="AA29" s="305"/>
      <c r="AB29" s="306"/>
      <c r="AC29" s="307"/>
      <c r="AD29" s="308"/>
    </row>
    <row r="30" spans="1:41" x14ac:dyDescent="0.2">
      <c r="A30" s="82" t="s">
        <v>61</v>
      </c>
      <c r="B30" s="82" t="s">
        <v>62</v>
      </c>
      <c r="C30" s="85">
        <v>54</v>
      </c>
      <c r="D30" s="86">
        <v>31</v>
      </c>
      <c r="E30" s="101">
        <f t="shared" si="6"/>
        <v>0.57407407407407407</v>
      </c>
      <c r="F30" s="387"/>
      <c r="G30" s="89">
        <v>50</v>
      </c>
      <c r="H30" s="89">
        <v>36</v>
      </c>
      <c r="I30" s="237">
        <f t="shared" ref="I30:I34" si="9">H30/G30</f>
        <v>0.72</v>
      </c>
      <c r="J30" s="259"/>
      <c r="K30" s="251">
        <v>53</v>
      </c>
      <c r="L30" s="89">
        <v>31</v>
      </c>
      <c r="M30" s="237">
        <f t="shared" si="8"/>
        <v>0.58490566037735847</v>
      </c>
      <c r="N30" s="259"/>
      <c r="O30" s="86">
        <v>46</v>
      </c>
      <c r="P30" s="86">
        <v>27</v>
      </c>
      <c r="Q30" s="86">
        <v>59</v>
      </c>
      <c r="R30" s="86"/>
      <c r="S30" s="87"/>
      <c r="T30" s="88"/>
      <c r="U30" s="94"/>
      <c r="V30" s="188"/>
      <c r="W30" s="89"/>
      <c r="X30" s="89"/>
      <c r="Y30" s="92"/>
      <c r="Z30" s="92"/>
      <c r="AA30" s="305"/>
      <c r="AB30" s="306"/>
      <c r="AC30" s="307"/>
      <c r="AD30" s="308"/>
    </row>
    <row r="31" spans="1:41" x14ac:dyDescent="0.2">
      <c r="A31" s="82" t="s">
        <v>63</v>
      </c>
      <c r="B31" s="82" t="s">
        <v>64</v>
      </c>
      <c r="C31" s="85">
        <v>131</v>
      </c>
      <c r="D31" s="86">
        <v>77</v>
      </c>
      <c r="E31" s="101">
        <f t="shared" si="6"/>
        <v>0.58778625954198471</v>
      </c>
      <c r="F31" s="387"/>
      <c r="G31" s="89">
        <v>142</v>
      </c>
      <c r="H31" s="89">
        <v>78</v>
      </c>
      <c r="I31" s="237">
        <f t="shared" si="9"/>
        <v>0.54929577464788737</v>
      </c>
      <c r="J31" s="259"/>
      <c r="K31" s="251">
        <v>131</v>
      </c>
      <c r="L31" s="89">
        <v>73</v>
      </c>
      <c r="M31" s="237">
        <f t="shared" si="8"/>
        <v>0.5572519083969466</v>
      </c>
      <c r="N31" s="259"/>
      <c r="O31" s="86">
        <v>178</v>
      </c>
      <c r="P31" s="86">
        <v>101</v>
      </c>
      <c r="Q31" s="86">
        <v>56</v>
      </c>
      <c r="R31" s="86"/>
      <c r="S31" s="87">
        <v>291</v>
      </c>
      <c r="T31" s="88">
        <v>138</v>
      </c>
      <c r="U31" s="88">
        <v>47</v>
      </c>
      <c r="V31" s="188"/>
      <c r="W31" s="89">
        <v>144</v>
      </c>
      <c r="X31" s="89">
        <v>112</v>
      </c>
      <c r="Y31" s="92">
        <f>112/144</f>
        <v>0.77777777777777779</v>
      </c>
      <c r="Z31" s="92"/>
      <c r="AA31" s="305">
        <v>134</v>
      </c>
      <c r="AB31" s="306">
        <v>62</v>
      </c>
      <c r="AC31" s="307">
        <f t="shared" si="5"/>
        <v>0.46268656716417911</v>
      </c>
      <c r="AD31" s="308"/>
    </row>
    <row r="32" spans="1:41" x14ac:dyDescent="0.2">
      <c r="A32" s="82" t="s">
        <v>65</v>
      </c>
      <c r="B32" s="82" t="s">
        <v>66</v>
      </c>
      <c r="C32" s="85">
        <v>138</v>
      </c>
      <c r="D32" s="86">
        <v>59</v>
      </c>
      <c r="E32" s="101">
        <f t="shared" si="6"/>
        <v>0.42753623188405798</v>
      </c>
      <c r="F32" s="387"/>
      <c r="G32" s="89">
        <v>102</v>
      </c>
      <c r="H32" s="89">
        <v>43</v>
      </c>
      <c r="I32" s="237">
        <f t="shared" si="9"/>
        <v>0.42156862745098039</v>
      </c>
      <c r="J32" s="259"/>
      <c r="K32" s="251">
        <v>94</v>
      </c>
      <c r="L32" s="89">
        <v>44</v>
      </c>
      <c r="M32" s="237">
        <f t="shared" si="8"/>
        <v>0.46808510638297873</v>
      </c>
      <c r="N32" s="259"/>
      <c r="O32" s="86">
        <v>135</v>
      </c>
      <c r="P32" s="86">
        <v>71</v>
      </c>
      <c r="Q32" s="86">
        <v>53</v>
      </c>
      <c r="R32" s="86"/>
      <c r="S32" s="87">
        <v>204</v>
      </c>
      <c r="T32" s="88">
        <v>90</v>
      </c>
      <c r="U32" s="88">
        <v>44</v>
      </c>
      <c r="V32" s="188"/>
      <c r="W32" s="89">
        <v>167</v>
      </c>
      <c r="X32" s="89">
        <v>81</v>
      </c>
      <c r="Y32" s="92">
        <f>81/167</f>
        <v>0.48502994011976047</v>
      </c>
      <c r="Z32" s="92"/>
      <c r="AA32" s="305">
        <v>149</v>
      </c>
      <c r="AB32" s="306">
        <v>54</v>
      </c>
      <c r="AC32" s="307">
        <f t="shared" si="5"/>
        <v>0.36241610738255031</v>
      </c>
      <c r="AD32" s="308"/>
    </row>
    <row r="33" spans="1:30" x14ac:dyDescent="0.2">
      <c r="A33" s="82" t="s">
        <v>67</v>
      </c>
      <c r="B33" s="82" t="s">
        <v>68</v>
      </c>
      <c r="C33" s="85">
        <v>46</v>
      </c>
      <c r="D33" s="86">
        <v>42</v>
      </c>
      <c r="E33" s="101">
        <f t="shared" si="6"/>
        <v>0.91304347826086951</v>
      </c>
      <c r="F33" s="387"/>
      <c r="G33" s="89">
        <v>13</v>
      </c>
      <c r="H33" s="89">
        <v>12</v>
      </c>
      <c r="I33" s="237">
        <f t="shared" si="9"/>
        <v>0.92307692307692313</v>
      </c>
      <c r="J33" s="259"/>
      <c r="K33" s="251"/>
      <c r="L33" s="89"/>
      <c r="M33" s="237"/>
      <c r="N33" s="259"/>
      <c r="O33" s="86"/>
      <c r="P33" s="86"/>
      <c r="Q33" s="86"/>
      <c r="R33" s="86"/>
      <c r="S33" s="87"/>
      <c r="T33" s="88"/>
      <c r="U33" s="88"/>
      <c r="V33" s="188"/>
      <c r="W33" s="89"/>
      <c r="X33" s="89"/>
      <c r="Y33" s="92"/>
      <c r="Z33" s="92"/>
      <c r="AA33" s="305"/>
      <c r="AB33" s="306"/>
      <c r="AC33" s="307"/>
      <c r="AD33" s="308"/>
    </row>
    <row r="34" spans="1:30" x14ac:dyDescent="0.2">
      <c r="A34" s="82" t="s">
        <v>69</v>
      </c>
      <c r="B34" s="82" t="s">
        <v>70</v>
      </c>
      <c r="C34" s="85">
        <v>52</v>
      </c>
      <c r="D34" s="86">
        <v>27</v>
      </c>
      <c r="E34" s="101">
        <f t="shared" si="6"/>
        <v>0.51923076923076927</v>
      </c>
      <c r="F34" s="387"/>
      <c r="G34" s="89">
        <v>60</v>
      </c>
      <c r="H34" s="89">
        <v>40</v>
      </c>
      <c r="I34" s="237">
        <f t="shared" si="9"/>
        <v>0.66666666666666663</v>
      </c>
      <c r="J34" s="259"/>
      <c r="K34" s="251">
        <v>62</v>
      </c>
      <c r="L34" s="89">
        <v>38</v>
      </c>
      <c r="M34" s="237">
        <f t="shared" si="8"/>
        <v>0.61290322580645162</v>
      </c>
      <c r="N34" s="259"/>
      <c r="O34" s="86">
        <v>72</v>
      </c>
      <c r="P34" s="86">
        <v>53</v>
      </c>
      <c r="Q34" s="86">
        <v>73</v>
      </c>
      <c r="R34" s="86"/>
      <c r="S34" s="87">
        <v>63</v>
      </c>
      <c r="T34" s="88">
        <v>39</v>
      </c>
      <c r="U34" s="90">
        <f>39/63</f>
        <v>0.61904761904761907</v>
      </c>
      <c r="V34" s="187"/>
      <c r="W34" s="89">
        <v>71</v>
      </c>
      <c r="X34" s="89">
        <v>48</v>
      </c>
      <c r="Y34" s="92">
        <f>48/71</f>
        <v>0.676056338028169</v>
      </c>
      <c r="Z34" s="92"/>
      <c r="AA34" s="305">
        <v>73</v>
      </c>
      <c r="AB34" s="306">
        <v>48</v>
      </c>
      <c r="AC34" s="307">
        <f t="shared" si="5"/>
        <v>0.65753424657534243</v>
      </c>
      <c r="AD34" s="308"/>
    </row>
    <row r="35" spans="1:30" x14ac:dyDescent="0.2">
      <c r="A35" s="82" t="s">
        <v>71</v>
      </c>
      <c r="B35" s="82" t="s">
        <v>72</v>
      </c>
      <c r="C35" s="85">
        <v>42</v>
      </c>
      <c r="D35" s="86">
        <v>20</v>
      </c>
      <c r="E35" s="101">
        <f t="shared" si="6"/>
        <v>0.47619047619047616</v>
      </c>
      <c r="F35" s="387"/>
      <c r="G35" s="89"/>
      <c r="H35" s="89"/>
      <c r="I35" s="237"/>
      <c r="J35" s="259"/>
      <c r="K35" s="251"/>
      <c r="L35" s="89"/>
      <c r="M35" s="237"/>
      <c r="N35" s="259"/>
      <c r="O35" s="86"/>
      <c r="P35" s="86"/>
      <c r="Q35" s="86"/>
      <c r="R35" s="86"/>
      <c r="S35" s="87"/>
      <c r="T35" s="88"/>
      <c r="U35" s="90"/>
      <c r="V35" s="187"/>
      <c r="W35" s="89"/>
      <c r="X35" s="89"/>
      <c r="Y35" s="92"/>
      <c r="Z35" s="92"/>
      <c r="AA35" s="305"/>
      <c r="AB35" s="306"/>
      <c r="AC35" s="307"/>
      <c r="AD35" s="308"/>
    </row>
    <row r="36" spans="1:30" x14ac:dyDescent="0.2">
      <c r="A36" s="82" t="s">
        <v>73</v>
      </c>
      <c r="B36" s="82" t="s">
        <v>74</v>
      </c>
      <c r="C36" s="85">
        <v>14</v>
      </c>
      <c r="D36" s="86">
        <v>13</v>
      </c>
      <c r="E36" s="101">
        <f t="shared" si="6"/>
        <v>0.9285714285714286</v>
      </c>
      <c r="F36" s="387"/>
      <c r="G36" s="89">
        <v>20</v>
      </c>
      <c r="H36" s="89">
        <v>18</v>
      </c>
      <c r="I36" s="237">
        <f t="shared" ref="I36:I42" si="10">H36/G36</f>
        <v>0.9</v>
      </c>
      <c r="J36" s="259"/>
      <c r="K36" s="251">
        <v>9</v>
      </c>
      <c r="L36" s="89">
        <v>6</v>
      </c>
      <c r="M36" s="237">
        <f t="shared" si="8"/>
        <v>0.66666666666666663</v>
      </c>
      <c r="N36" s="259"/>
      <c r="O36" s="86">
        <v>11</v>
      </c>
      <c r="P36" s="86">
        <v>10</v>
      </c>
      <c r="Q36" s="86">
        <v>90</v>
      </c>
      <c r="R36" s="86"/>
      <c r="S36" s="138">
        <v>19</v>
      </c>
      <c r="T36" s="139">
        <v>19</v>
      </c>
      <c r="U36" s="140">
        <v>1</v>
      </c>
      <c r="V36" s="189"/>
      <c r="W36" s="142">
        <v>6</v>
      </c>
      <c r="X36" s="142">
        <v>6</v>
      </c>
      <c r="Y36" s="149">
        <v>1</v>
      </c>
      <c r="Z36" s="149"/>
      <c r="AA36" s="309">
        <v>10</v>
      </c>
      <c r="AB36" s="310">
        <v>10</v>
      </c>
      <c r="AC36" s="307">
        <f t="shared" si="5"/>
        <v>1</v>
      </c>
      <c r="AD36" s="311"/>
    </row>
    <row r="37" spans="1:30" x14ac:dyDescent="0.2">
      <c r="A37" s="82" t="s">
        <v>75</v>
      </c>
      <c r="B37" s="82" t="s">
        <v>76</v>
      </c>
      <c r="C37" s="85">
        <v>76</v>
      </c>
      <c r="D37" s="86">
        <v>29</v>
      </c>
      <c r="E37" s="101">
        <f t="shared" si="6"/>
        <v>0.38157894736842107</v>
      </c>
      <c r="F37" s="387"/>
      <c r="G37" s="89">
        <v>64</v>
      </c>
      <c r="H37" s="89">
        <v>29</v>
      </c>
      <c r="I37" s="237">
        <f t="shared" si="10"/>
        <v>0.453125</v>
      </c>
      <c r="J37" s="259"/>
      <c r="K37" s="251">
        <v>57</v>
      </c>
      <c r="L37" s="89">
        <v>19</v>
      </c>
      <c r="M37" s="237">
        <f t="shared" si="8"/>
        <v>0.33333333333333331</v>
      </c>
      <c r="N37" s="259"/>
      <c r="O37" s="86">
        <v>59</v>
      </c>
      <c r="P37" s="86">
        <v>20</v>
      </c>
      <c r="Q37" s="86">
        <v>34</v>
      </c>
      <c r="R37" s="86"/>
      <c r="S37" s="87">
        <v>68</v>
      </c>
      <c r="T37" s="88">
        <v>28</v>
      </c>
      <c r="U37" s="88">
        <v>41</v>
      </c>
      <c r="V37" s="188"/>
      <c r="W37" s="142">
        <v>74</v>
      </c>
      <c r="X37" s="142">
        <v>23</v>
      </c>
      <c r="Y37" s="149">
        <f>23/74</f>
        <v>0.3108108108108108</v>
      </c>
      <c r="Z37" s="149"/>
      <c r="AA37" s="309">
        <v>58</v>
      </c>
      <c r="AB37" s="310">
        <v>15</v>
      </c>
      <c r="AC37" s="307">
        <f t="shared" si="5"/>
        <v>0.25862068965517243</v>
      </c>
      <c r="AD37" s="311"/>
    </row>
    <row r="38" spans="1:30" x14ac:dyDescent="0.2">
      <c r="A38" s="82" t="s">
        <v>77</v>
      </c>
      <c r="B38" s="82" t="s">
        <v>78</v>
      </c>
      <c r="C38" s="85">
        <v>90</v>
      </c>
      <c r="D38" s="86">
        <v>61</v>
      </c>
      <c r="E38" s="101">
        <f t="shared" si="6"/>
        <v>0.67777777777777781</v>
      </c>
      <c r="F38" s="387"/>
      <c r="G38" s="89">
        <v>80</v>
      </c>
      <c r="H38" s="89">
        <v>53</v>
      </c>
      <c r="I38" s="237">
        <f t="shared" si="10"/>
        <v>0.66249999999999998</v>
      </c>
      <c r="J38" s="259"/>
      <c r="K38" s="251">
        <v>74</v>
      </c>
      <c r="L38" s="89">
        <v>52</v>
      </c>
      <c r="M38" s="237">
        <f t="shared" si="8"/>
        <v>0.70270270270270274</v>
      </c>
      <c r="N38" s="259"/>
      <c r="O38" s="86">
        <v>78</v>
      </c>
      <c r="P38" s="86">
        <v>42</v>
      </c>
      <c r="Q38" s="86">
        <v>54</v>
      </c>
      <c r="R38" s="86"/>
      <c r="S38" s="138">
        <v>84</v>
      </c>
      <c r="T38" s="139">
        <v>42</v>
      </c>
      <c r="U38" s="140">
        <v>0.5</v>
      </c>
      <c r="V38" s="189"/>
      <c r="W38" s="142">
        <v>96</v>
      </c>
      <c r="X38" s="142">
        <v>69</v>
      </c>
      <c r="Y38" s="149">
        <f>69/96</f>
        <v>0.71875</v>
      </c>
      <c r="Z38" s="149"/>
      <c r="AA38" s="309">
        <v>66</v>
      </c>
      <c r="AB38" s="310">
        <v>43</v>
      </c>
      <c r="AC38" s="307">
        <f t="shared" si="5"/>
        <v>0.65151515151515149</v>
      </c>
      <c r="AD38" s="311"/>
    </row>
    <row r="39" spans="1:30" x14ac:dyDescent="0.2">
      <c r="A39" s="82" t="s">
        <v>77</v>
      </c>
      <c r="B39" s="82" t="s">
        <v>79</v>
      </c>
      <c r="C39" s="85">
        <v>33</v>
      </c>
      <c r="D39" s="86">
        <v>14</v>
      </c>
      <c r="E39" s="101">
        <f t="shared" si="6"/>
        <v>0.42424242424242425</v>
      </c>
      <c r="F39" s="387"/>
      <c r="G39" s="89">
        <v>22</v>
      </c>
      <c r="H39" s="89">
        <v>12</v>
      </c>
      <c r="I39" s="237">
        <f t="shared" si="10"/>
        <v>0.54545454545454541</v>
      </c>
      <c r="J39" s="259"/>
      <c r="K39" s="251"/>
      <c r="L39" s="89"/>
      <c r="M39" s="237"/>
      <c r="N39" s="259"/>
      <c r="O39" s="86"/>
      <c r="P39" s="86"/>
      <c r="Q39" s="86"/>
      <c r="R39" s="86"/>
      <c r="S39" s="138"/>
      <c r="T39" s="139"/>
      <c r="U39" s="140"/>
      <c r="V39" s="189"/>
      <c r="W39" s="142"/>
      <c r="X39" s="142"/>
      <c r="Y39" s="149"/>
      <c r="Z39" s="149"/>
      <c r="AA39" s="309"/>
      <c r="AB39" s="310"/>
      <c r="AC39" s="307"/>
      <c r="AD39" s="311"/>
    </row>
    <row r="40" spans="1:30" x14ac:dyDescent="0.2">
      <c r="A40" s="82" t="s">
        <v>80</v>
      </c>
      <c r="B40" s="82" t="s">
        <v>81</v>
      </c>
      <c r="C40" s="85">
        <v>168</v>
      </c>
      <c r="D40" s="86">
        <v>64</v>
      </c>
      <c r="E40" s="101">
        <f t="shared" si="6"/>
        <v>0.38095238095238093</v>
      </c>
      <c r="F40" s="387"/>
      <c r="G40" s="89">
        <v>92</v>
      </c>
      <c r="H40" s="89">
        <v>41</v>
      </c>
      <c r="I40" s="237">
        <f t="shared" si="10"/>
        <v>0.44565217391304346</v>
      </c>
      <c r="J40" s="259"/>
      <c r="K40" s="251">
        <v>85</v>
      </c>
      <c r="L40" s="89">
        <v>36</v>
      </c>
      <c r="M40" s="237">
        <f t="shared" si="8"/>
        <v>0.42352941176470588</v>
      </c>
      <c r="N40" s="259"/>
      <c r="O40" s="86">
        <v>99</v>
      </c>
      <c r="P40" s="86">
        <v>48</v>
      </c>
      <c r="Q40" s="86">
        <v>49</v>
      </c>
      <c r="R40" s="86"/>
      <c r="S40" s="87">
        <v>132</v>
      </c>
      <c r="T40" s="88">
        <v>60</v>
      </c>
      <c r="U40" s="88">
        <v>45</v>
      </c>
      <c r="V40" s="188"/>
      <c r="W40" s="142">
        <v>89</v>
      </c>
      <c r="X40" s="142">
        <v>46</v>
      </c>
      <c r="Y40" s="149">
        <f>46/89</f>
        <v>0.5168539325842697</v>
      </c>
      <c r="Z40" s="149"/>
      <c r="AA40" s="309">
        <v>76</v>
      </c>
      <c r="AB40" s="310">
        <v>29</v>
      </c>
      <c r="AC40" s="307">
        <f t="shared" si="5"/>
        <v>0.38157894736842107</v>
      </c>
      <c r="AD40" s="311"/>
    </row>
    <row r="41" spans="1:30" x14ac:dyDescent="0.2">
      <c r="A41" s="82" t="s">
        <v>82</v>
      </c>
      <c r="B41" s="82" t="s">
        <v>83</v>
      </c>
      <c r="C41" s="85">
        <v>98</v>
      </c>
      <c r="D41" s="86">
        <v>49</v>
      </c>
      <c r="E41" s="101">
        <f t="shared" si="6"/>
        <v>0.5</v>
      </c>
      <c r="F41" s="387"/>
      <c r="G41" s="89">
        <v>94</v>
      </c>
      <c r="H41" s="89">
        <v>51</v>
      </c>
      <c r="I41" s="237">
        <f t="shared" si="10"/>
        <v>0.54255319148936165</v>
      </c>
      <c r="J41" s="259"/>
      <c r="K41" s="251">
        <v>130</v>
      </c>
      <c r="L41" s="89">
        <v>78</v>
      </c>
      <c r="M41" s="237">
        <f t="shared" si="8"/>
        <v>0.6</v>
      </c>
      <c r="N41" s="259"/>
      <c r="O41" s="86">
        <v>151</v>
      </c>
      <c r="P41" s="86">
        <v>92</v>
      </c>
      <c r="Q41" s="86">
        <v>61</v>
      </c>
      <c r="R41" s="86"/>
      <c r="S41" s="87">
        <v>188</v>
      </c>
      <c r="T41" s="88">
        <v>106</v>
      </c>
      <c r="U41" s="88">
        <v>56</v>
      </c>
      <c r="V41" s="188"/>
      <c r="W41" s="142">
        <v>96</v>
      </c>
      <c r="X41" s="142">
        <v>74</v>
      </c>
      <c r="Y41" s="149">
        <f>74/96</f>
        <v>0.77083333333333337</v>
      </c>
      <c r="Z41" s="149"/>
      <c r="AA41" s="309">
        <v>138</v>
      </c>
      <c r="AB41" s="310">
        <v>62</v>
      </c>
      <c r="AC41" s="307">
        <f t="shared" si="5"/>
        <v>0.44927536231884058</v>
      </c>
      <c r="AD41" s="311"/>
    </row>
    <row r="42" spans="1:30" ht="13.5" thickBot="1" x14ac:dyDescent="0.25">
      <c r="A42" s="82" t="s">
        <v>84</v>
      </c>
      <c r="B42" s="82" t="s">
        <v>85</v>
      </c>
      <c r="C42" s="388">
        <v>118</v>
      </c>
      <c r="D42" s="103">
        <v>38</v>
      </c>
      <c r="E42" s="424">
        <f t="shared" si="6"/>
        <v>0.32203389830508472</v>
      </c>
      <c r="F42" s="389"/>
      <c r="G42" s="89">
        <v>82</v>
      </c>
      <c r="H42" s="89">
        <v>35</v>
      </c>
      <c r="I42" s="237">
        <f t="shared" si="10"/>
        <v>0.42682926829268292</v>
      </c>
      <c r="J42" s="259"/>
      <c r="K42" s="251">
        <v>84</v>
      </c>
      <c r="L42" s="89">
        <v>37</v>
      </c>
      <c r="M42" s="237">
        <f t="shared" si="8"/>
        <v>0.44047619047619047</v>
      </c>
      <c r="N42" s="259"/>
      <c r="O42" s="86">
        <v>126</v>
      </c>
      <c r="P42" s="86">
        <v>55</v>
      </c>
      <c r="Q42" s="86">
        <v>44</v>
      </c>
      <c r="R42" s="86"/>
      <c r="S42" s="87">
        <v>137</v>
      </c>
      <c r="T42" s="88">
        <v>62</v>
      </c>
      <c r="U42" s="88">
        <v>45</v>
      </c>
      <c r="V42" s="188"/>
      <c r="W42" s="142">
        <v>108</v>
      </c>
      <c r="X42" s="142">
        <v>61</v>
      </c>
      <c r="Y42" s="149">
        <f>61/108</f>
        <v>0.56481481481481477</v>
      </c>
      <c r="Z42" s="149"/>
      <c r="AA42" s="312">
        <v>89</v>
      </c>
      <c r="AB42" s="313">
        <v>46</v>
      </c>
      <c r="AC42" s="314">
        <f t="shared" si="5"/>
        <v>0.5168539325842697</v>
      </c>
      <c r="AD42" s="315"/>
    </row>
    <row r="43" spans="1:30" ht="13.5" thickBot="1" x14ac:dyDescent="0.25">
      <c r="A43" s="120"/>
      <c r="B43" s="106" t="s">
        <v>46</v>
      </c>
      <c r="C43" s="394">
        <f>SUM(C24:C42)</f>
        <v>1500</v>
      </c>
      <c r="D43" s="107">
        <f>SUM(D24:D42)</f>
        <v>756</v>
      </c>
      <c r="E43" s="174">
        <f>SUM(E24:E42)/19</f>
        <v>0.54071100649091897</v>
      </c>
      <c r="F43" s="175"/>
      <c r="G43" s="108">
        <f>SUM(G24:G42)</f>
        <v>1261</v>
      </c>
      <c r="H43" s="108">
        <f>SUM(H24:H42)</f>
        <v>702</v>
      </c>
      <c r="I43" s="256">
        <f>(SUM(I24:I42)/18)</f>
        <v>0.60178959710941937</v>
      </c>
      <c r="J43" s="239"/>
      <c r="K43" s="255">
        <f>SUM(K24:K42)</f>
        <v>1058</v>
      </c>
      <c r="L43" s="108">
        <f>SUM(L24:L42)</f>
        <v>578</v>
      </c>
      <c r="M43" s="256">
        <f>(SUM(M24:M42)/19)</f>
        <v>0.40710250862375047</v>
      </c>
      <c r="N43" s="239"/>
      <c r="O43" s="122">
        <f>SUM(O24:O42)</f>
        <v>1397</v>
      </c>
      <c r="P43" s="122">
        <f>SUM(P24:P42)</f>
        <v>747</v>
      </c>
      <c r="Q43" s="178">
        <v>0.55000000000000004</v>
      </c>
      <c r="R43" s="122"/>
      <c r="S43" s="129">
        <f>SUM(S24:S42)</f>
        <v>1643</v>
      </c>
      <c r="T43" s="170">
        <f>SUM(T24:T42)</f>
        <v>821</v>
      </c>
      <c r="U43" s="190">
        <v>0.5</v>
      </c>
      <c r="V43" s="191"/>
      <c r="W43" s="125">
        <f>SUM(W24:W42)</f>
        <v>1217</v>
      </c>
      <c r="X43" s="125">
        <f>SUM(X24:X42)</f>
        <v>722</v>
      </c>
      <c r="Y43" s="179">
        <v>0.57999999999999996</v>
      </c>
      <c r="Z43" s="151"/>
      <c r="AA43" s="316">
        <f>SUM(AA24:AA42)</f>
        <v>1114</v>
      </c>
      <c r="AB43" s="317">
        <f>SUM(AB24:AB42)</f>
        <v>521</v>
      </c>
      <c r="AC43" s="318">
        <f>(SUM(AC24:AC42)/21)</f>
        <v>0.29463822046411531</v>
      </c>
      <c r="AD43" s="302"/>
    </row>
    <row r="44" spans="1:30" ht="13.5" thickBot="1" x14ac:dyDescent="0.25">
      <c r="A44" s="81"/>
      <c r="B44" s="96"/>
      <c r="C44" s="96"/>
      <c r="D44" s="96"/>
      <c r="E44" s="96"/>
      <c r="F44" s="96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6"/>
      <c r="R44" s="96"/>
      <c r="S44" s="97"/>
      <c r="T44" s="97"/>
      <c r="U44" s="111"/>
      <c r="V44" s="111"/>
      <c r="W44" s="97"/>
      <c r="X44" s="97"/>
      <c r="Y44" s="111"/>
      <c r="Z44" s="111"/>
      <c r="AA44" s="111"/>
      <c r="AB44" s="111"/>
      <c r="AC44" s="111"/>
      <c r="AD44" s="111"/>
    </row>
    <row r="45" spans="1:30" x14ac:dyDescent="0.2">
      <c r="A45" s="104" t="s">
        <v>86</v>
      </c>
      <c r="B45" s="200" t="s">
        <v>87</v>
      </c>
      <c r="C45" s="200">
        <f>C27+C28+C30+C33+C34+C35+C36+C38+C39</f>
        <v>467</v>
      </c>
      <c r="D45" s="200">
        <f>D27+D28+D30+D33+D34+D35+D36+D38+D39</f>
        <v>295</v>
      </c>
      <c r="E45" s="410">
        <f>D45/C45</f>
        <v>0.6316916488222698</v>
      </c>
      <c r="F45" s="200"/>
      <c r="G45" s="361">
        <f>G27+G28+G30+G33+G34+G36+G38+G39</f>
        <v>363</v>
      </c>
      <c r="H45" s="362">
        <f>H27+H28+H30+H33+H34+H36+H38+H39</f>
        <v>262</v>
      </c>
      <c r="I45" s="363">
        <f>H45/G45</f>
        <v>0.721763085399449</v>
      </c>
      <c r="J45" s="364"/>
      <c r="K45" s="257">
        <v>425</v>
      </c>
      <c r="L45" s="257">
        <v>267</v>
      </c>
      <c r="M45" s="291">
        <v>0.63</v>
      </c>
      <c r="N45" s="260"/>
      <c r="O45" s="182">
        <v>578</v>
      </c>
      <c r="P45" s="182">
        <v>362</v>
      </c>
      <c r="Q45" s="183">
        <v>0.62</v>
      </c>
      <c r="R45" s="182"/>
      <c r="S45" s="181">
        <v>649</v>
      </c>
      <c r="T45" s="156">
        <v>344</v>
      </c>
      <c r="U45" s="157">
        <f>344/649</f>
        <v>0.53004622496147924</v>
      </c>
      <c r="V45" s="193"/>
      <c r="W45" s="158">
        <v>590</v>
      </c>
      <c r="X45" s="158">
        <v>346</v>
      </c>
      <c r="Y45" s="159">
        <f>346/590</f>
        <v>0.58644067796610166</v>
      </c>
      <c r="Z45" s="159"/>
      <c r="AA45" s="328">
        <v>440</v>
      </c>
      <c r="AB45" s="330">
        <v>282</v>
      </c>
      <c r="AC45" s="157">
        <v>0.64</v>
      </c>
      <c r="AD45" s="193"/>
    </row>
    <row r="46" spans="1:30" ht="13.5" thickBot="1" x14ac:dyDescent="0.25">
      <c r="A46" s="105" t="s">
        <v>88</v>
      </c>
      <c r="B46" s="201" t="s">
        <v>89</v>
      </c>
      <c r="C46" s="201">
        <f>C24+C25+C26+C29+C31+C32+C37+C40+C41+C42</f>
        <v>1033</v>
      </c>
      <c r="D46" s="201">
        <f>D24+D25+D26+D29+D31+D32+D37+D40+D41+D42</f>
        <v>461</v>
      </c>
      <c r="E46" s="411">
        <f>D46/C46</f>
        <v>0.44627299128751208</v>
      </c>
      <c r="F46" s="201"/>
      <c r="G46" s="365">
        <f>G24+G25+G26+G29+G31+G32+G37+G40+G41+G42</f>
        <v>898</v>
      </c>
      <c r="H46" s="186">
        <f>H24+H25+H26+H29+H31+H32+H37+H40+H41+H42</f>
        <v>440</v>
      </c>
      <c r="I46" s="366">
        <f>H46/G46</f>
        <v>0.48997772828507796</v>
      </c>
      <c r="J46" s="367"/>
      <c r="K46" s="258">
        <v>838</v>
      </c>
      <c r="L46" s="258">
        <v>424</v>
      </c>
      <c r="M46" s="292">
        <v>0.51</v>
      </c>
      <c r="N46" s="261"/>
      <c r="O46" s="184">
        <v>1094</v>
      </c>
      <c r="P46" s="184">
        <v>560</v>
      </c>
      <c r="Q46" s="185">
        <v>0.51</v>
      </c>
      <c r="R46" s="184"/>
      <c r="S46" s="197">
        <v>1722</v>
      </c>
      <c r="T46" s="160">
        <v>891</v>
      </c>
      <c r="U46" s="161">
        <f>891/1722</f>
        <v>0.51742160278745641</v>
      </c>
      <c r="V46" s="198"/>
      <c r="W46" s="109">
        <v>1216</v>
      </c>
      <c r="X46" s="109">
        <v>756</v>
      </c>
      <c r="Y46" s="110">
        <f>756/1216</f>
        <v>0.62171052631578949</v>
      </c>
      <c r="Z46" s="110"/>
      <c r="AA46" s="329">
        <v>953</v>
      </c>
      <c r="AB46" s="331">
        <v>406</v>
      </c>
      <c r="AC46" s="161">
        <v>0.43</v>
      </c>
      <c r="AD46" s="198"/>
    </row>
    <row r="47" spans="1:30" ht="13.5" thickBot="1" x14ac:dyDescent="0.25">
      <c r="A47" s="81"/>
      <c r="B47" s="81"/>
      <c r="C47" s="81"/>
      <c r="D47" s="81"/>
      <c r="E47" s="81"/>
      <c r="F47" s="81"/>
      <c r="G47" s="81"/>
      <c r="J47" s="81"/>
      <c r="K47" s="81"/>
      <c r="L47" s="81"/>
      <c r="M47" s="81"/>
      <c r="N47" s="81"/>
      <c r="O47" s="81"/>
      <c r="P47" s="81"/>
      <c r="Q47" s="81"/>
      <c r="R47" s="81"/>
      <c r="U47" s="162"/>
      <c r="V47" s="163"/>
      <c r="Y47" s="162"/>
      <c r="Z47" s="162"/>
      <c r="AA47" s="162"/>
      <c r="AB47" s="162"/>
      <c r="AC47" s="162"/>
      <c r="AD47" s="162"/>
    </row>
    <row r="48" spans="1:30" ht="13.5" thickBot="1" x14ac:dyDescent="0.25">
      <c r="A48" s="102" t="s">
        <v>90</v>
      </c>
      <c r="B48" s="128"/>
      <c r="C48" s="122" t="s">
        <v>10</v>
      </c>
      <c r="D48" s="122" t="s">
        <v>11</v>
      </c>
      <c r="E48" s="122" t="s">
        <v>12</v>
      </c>
      <c r="F48" s="302"/>
      <c r="G48" s="369" t="s">
        <v>10</v>
      </c>
      <c r="H48" s="158" t="s">
        <v>11</v>
      </c>
      <c r="I48" s="158" t="s">
        <v>12</v>
      </c>
      <c r="J48" s="370"/>
      <c r="K48" s="158" t="s">
        <v>10</v>
      </c>
      <c r="L48" s="158" t="s">
        <v>11</v>
      </c>
      <c r="M48" s="158" t="s">
        <v>12</v>
      </c>
      <c r="N48" s="263"/>
      <c r="O48" s="181" t="s">
        <v>10</v>
      </c>
      <c r="P48" s="156" t="s">
        <v>11</v>
      </c>
      <c r="Q48" s="156" t="s">
        <v>12</v>
      </c>
      <c r="R48" s="385"/>
      <c r="S48" s="113" t="s">
        <v>14</v>
      </c>
      <c r="T48" s="371" t="s">
        <v>11</v>
      </c>
      <c r="U48" s="372" t="s">
        <v>12</v>
      </c>
      <c r="V48" s="372"/>
      <c r="W48" s="369" t="s">
        <v>14</v>
      </c>
      <c r="X48" s="378" t="s">
        <v>11</v>
      </c>
      <c r="Y48" s="379" t="s">
        <v>12</v>
      </c>
      <c r="Z48" s="390"/>
      <c r="AA48" s="181" t="s">
        <v>14</v>
      </c>
      <c r="AB48" s="375" t="s">
        <v>11</v>
      </c>
      <c r="AC48" s="376" t="s">
        <v>12</v>
      </c>
      <c r="AD48" s="377" t="s">
        <v>13</v>
      </c>
    </row>
    <row r="49" spans="1:30" x14ac:dyDescent="0.2">
      <c r="A49" s="82" t="s">
        <v>91</v>
      </c>
      <c r="B49" s="84" t="s">
        <v>92</v>
      </c>
      <c r="C49" s="297">
        <v>14</v>
      </c>
      <c r="D49" s="264">
        <v>14</v>
      </c>
      <c r="E49" s="298">
        <f>D49/C49</f>
        <v>1</v>
      </c>
      <c r="F49" s="265"/>
      <c r="G49" s="248">
        <v>13</v>
      </c>
      <c r="H49" s="142">
        <v>12</v>
      </c>
      <c r="I49" s="249">
        <f t="shared" ref="I49:I54" si="11">H49/G49</f>
        <v>0.92307692307692313</v>
      </c>
      <c r="J49" s="144"/>
      <c r="K49" s="167"/>
      <c r="L49" s="167"/>
      <c r="M49" s="167"/>
      <c r="N49" s="142"/>
      <c r="O49" s="266"/>
      <c r="P49" s="236"/>
      <c r="Q49" s="236"/>
      <c r="R49" s="386"/>
      <c r="S49" s="168"/>
      <c r="T49" s="380"/>
      <c r="U49" s="381"/>
      <c r="V49" s="381"/>
      <c r="W49" s="384"/>
      <c r="X49" s="373"/>
      <c r="Y49" s="374"/>
      <c r="Z49" s="391"/>
      <c r="AA49" s="266"/>
      <c r="AB49" s="382"/>
      <c r="AC49" s="383"/>
      <c r="AD49" s="393"/>
    </row>
    <row r="50" spans="1:30" x14ac:dyDescent="0.2">
      <c r="A50" s="82" t="s">
        <v>93</v>
      </c>
      <c r="B50" s="84" t="s">
        <v>94</v>
      </c>
      <c r="C50" s="135"/>
      <c r="D50" s="136"/>
      <c r="E50" s="171"/>
      <c r="F50" s="137"/>
      <c r="G50" s="248">
        <v>2</v>
      </c>
      <c r="H50" s="142">
        <v>2</v>
      </c>
      <c r="I50" s="249">
        <f t="shared" si="11"/>
        <v>1</v>
      </c>
      <c r="J50" s="144"/>
      <c r="K50" s="167"/>
      <c r="L50" s="167"/>
      <c r="M50" s="167"/>
      <c r="N50" s="142"/>
      <c r="O50" s="266"/>
      <c r="P50" s="236"/>
      <c r="Q50" s="236"/>
      <c r="R50" s="386"/>
      <c r="S50" s="168"/>
      <c r="T50" s="380"/>
      <c r="U50" s="381"/>
      <c r="V50" s="381"/>
      <c r="W50" s="384"/>
      <c r="X50" s="373"/>
      <c r="Y50" s="374"/>
      <c r="Z50" s="391"/>
      <c r="AA50" s="266"/>
      <c r="AB50" s="382"/>
      <c r="AC50" s="383"/>
      <c r="AD50" s="393"/>
    </row>
    <row r="51" spans="1:30" x14ac:dyDescent="0.2">
      <c r="A51" s="82" t="s">
        <v>95</v>
      </c>
      <c r="B51" s="84" t="s">
        <v>96</v>
      </c>
      <c r="C51" s="135">
        <v>21</v>
      </c>
      <c r="D51" s="136">
        <v>21</v>
      </c>
      <c r="E51" s="171">
        <f t="shared" ref="E51:E84" si="12">D51/C51</f>
        <v>1</v>
      </c>
      <c r="F51" s="137"/>
      <c r="G51" s="248">
        <v>23</v>
      </c>
      <c r="H51" s="142">
        <v>23</v>
      </c>
      <c r="I51" s="249">
        <f t="shared" si="11"/>
        <v>1</v>
      </c>
      <c r="J51" s="144"/>
      <c r="K51" s="167"/>
      <c r="L51" s="167"/>
      <c r="M51" s="167"/>
      <c r="N51" s="142"/>
      <c r="O51" s="266"/>
      <c r="P51" s="236"/>
      <c r="Q51" s="236"/>
      <c r="R51" s="386"/>
      <c r="S51" s="168"/>
      <c r="T51" s="380"/>
      <c r="U51" s="381"/>
      <c r="V51" s="381"/>
      <c r="W51" s="384"/>
      <c r="X51" s="373"/>
      <c r="Y51" s="374"/>
      <c r="Z51" s="391"/>
      <c r="AA51" s="266"/>
      <c r="AB51" s="382"/>
      <c r="AC51" s="383"/>
      <c r="AD51" s="393"/>
    </row>
    <row r="52" spans="1:30" x14ac:dyDescent="0.2">
      <c r="A52" s="82" t="s">
        <v>97</v>
      </c>
      <c r="B52" s="84" t="s">
        <v>98</v>
      </c>
      <c r="C52" s="135">
        <v>25</v>
      </c>
      <c r="D52" s="136">
        <v>23</v>
      </c>
      <c r="E52" s="171">
        <f t="shared" si="12"/>
        <v>0.92</v>
      </c>
      <c r="F52" s="137"/>
      <c r="G52" s="248">
        <v>15</v>
      </c>
      <c r="H52" s="142">
        <v>15</v>
      </c>
      <c r="I52" s="249">
        <f t="shared" si="11"/>
        <v>1</v>
      </c>
      <c r="J52" s="144"/>
      <c r="K52" s="167"/>
      <c r="L52" s="167"/>
      <c r="M52" s="167"/>
      <c r="N52" s="142"/>
      <c r="O52" s="266"/>
      <c r="P52" s="236"/>
      <c r="Q52" s="236"/>
      <c r="R52" s="386"/>
      <c r="S52" s="168"/>
      <c r="T52" s="380"/>
      <c r="U52" s="381"/>
      <c r="V52" s="381"/>
      <c r="W52" s="384"/>
      <c r="X52" s="373"/>
      <c r="Y52" s="374"/>
      <c r="Z52" s="391"/>
      <c r="AA52" s="266"/>
      <c r="AB52" s="382"/>
      <c r="AC52" s="383"/>
      <c r="AD52" s="393"/>
    </row>
    <row r="53" spans="1:30" x14ac:dyDescent="0.2">
      <c r="A53" s="82" t="s">
        <v>99</v>
      </c>
      <c r="B53" s="81" t="s">
        <v>100</v>
      </c>
      <c r="C53" s="85">
        <v>54</v>
      </c>
      <c r="D53" s="86">
        <v>27</v>
      </c>
      <c r="E53" s="171">
        <f t="shared" si="12"/>
        <v>0.5</v>
      </c>
      <c r="F53" s="387"/>
      <c r="G53" s="251">
        <v>61</v>
      </c>
      <c r="H53" s="89">
        <v>38</v>
      </c>
      <c r="I53" s="237">
        <f t="shared" si="11"/>
        <v>0.62295081967213117</v>
      </c>
      <c r="J53" s="259"/>
      <c r="K53" s="89">
        <v>65</v>
      </c>
      <c r="L53" s="89">
        <v>37</v>
      </c>
      <c r="M53" s="237">
        <f>L53/K53</f>
        <v>0.56923076923076921</v>
      </c>
      <c r="N53" s="89"/>
      <c r="O53" s="85">
        <v>101</v>
      </c>
      <c r="P53" s="86">
        <v>53</v>
      </c>
      <c r="Q53" s="86">
        <v>52</v>
      </c>
      <c r="R53" s="387"/>
      <c r="S53" s="88">
        <v>84</v>
      </c>
      <c r="T53" s="88">
        <v>51</v>
      </c>
      <c r="U53" s="88">
        <v>61</v>
      </c>
      <c r="V53" s="88"/>
      <c r="W53" s="251">
        <v>94</v>
      </c>
      <c r="X53" s="89">
        <v>78</v>
      </c>
      <c r="Y53" s="92">
        <f>78/94</f>
        <v>0.82978723404255317</v>
      </c>
      <c r="Z53" s="392"/>
      <c r="AA53" s="305">
        <v>77</v>
      </c>
      <c r="AB53" s="306">
        <v>47</v>
      </c>
      <c r="AC53" s="307">
        <f>AB53/AA53</f>
        <v>0.61038961038961037</v>
      </c>
      <c r="AD53" s="308"/>
    </row>
    <row r="54" spans="1:30" x14ac:dyDescent="0.2">
      <c r="A54" s="82" t="s">
        <v>101</v>
      </c>
      <c r="B54" s="81" t="s">
        <v>102</v>
      </c>
      <c r="C54" s="85">
        <v>21</v>
      </c>
      <c r="D54" s="86">
        <v>7</v>
      </c>
      <c r="E54" s="171">
        <f t="shared" si="12"/>
        <v>0.33333333333333331</v>
      </c>
      <c r="F54" s="387"/>
      <c r="G54" s="251">
        <v>26</v>
      </c>
      <c r="H54" s="89">
        <v>12</v>
      </c>
      <c r="I54" s="237">
        <f t="shared" si="11"/>
        <v>0.46153846153846156</v>
      </c>
      <c r="J54" s="259"/>
      <c r="K54" s="89"/>
      <c r="L54" s="89"/>
      <c r="M54" s="237"/>
      <c r="N54" s="89"/>
      <c r="O54" s="85"/>
      <c r="P54" s="86"/>
      <c r="Q54" s="86"/>
      <c r="R54" s="387"/>
      <c r="S54" s="88"/>
      <c r="T54" s="88"/>
      <c r="U54" s="88"/>
      <c r="V54" s="88"/>
      <c r="W54" s="251"/>
      <c r="X54" s="89"/>
      <c r="Y54" s="92"/>
      <c r="Z54" s="392"/>
      <c r="AA54" s="305"/>
      <c r="AB54" s="306"/>
      <c r="AC54" s="307"/>
      <c r="AD54" s="308"/>
    </row>
    <row r="55" spans="1:30" x14ac:dyDescent="0.2">
      <c r="A55" s="82" t="s">
        <v>103</v>
      </c>
      <c r="B55" s="81" t="s">
        <v>54</v>
      </c>
      <c r="C55" s="85">
        <v>71</v>
      </c>
      <c r="D55" s="86">
        <v>50</v>
      </c>
      <c r="E55" s="171">
        <f t="shared" si="12"/>
        <v>0.70422535211267601</v>
      </c>
      <c r="F55" s="387"/>
      <c r="G55" s="251">
        <v>73</v>
      </c>
      <c r="H55" s="89">
        <v>43</v>
      </c>
      <c r="I55" s="237">
        <f t="shared" ref="I55:I61" si="13">H55/G55</f>
        <v>0.58904109589041098</v>
      </c>
      <c r="J55" s="259"/>
      <c r="K55" s="89">
        <v>84</v>
      </c>
      <c r="L55" s="89">
        <v>60</v>
      </c>
      <c r="M55" s="237">
        <f t="shared" ref="M55:M83" si="14">L55/K55</f>
        <v>0.7142857142857143</v>
      </c>
      <c r="N55" s="89"/>
      <c r="O55" s="85">
        <v>82</v>
      </c>
      <c r="P55" s="86">
        <v>57</v>
      </c>
      <c r="Q55" s="86">
        <v>70</v>
      </c>
      <c r="R55" s="387"/>
      <c r="S55" s="88">
        <v>119</v>
      </c>
      <c r="T55" s="88">
        <v>79</v>
      </c>
      <c r="U55" s="88">
        <v>66</v>
      </c>
      <c r="V55" s="88"/>
      <c r="W55" s="251">
        <v>86</v>
      </c>
      <c r="X55" s="89">
        <v>65</v>
      </c>
      <c r="Y55" s="92">
        <f>65/86</f>
        <v>0.7558139534883721</v>
      </c>
      <c r="Z55" s="392"/>
      <c r="AA55" s="305">
        <v>71</v>
      </c>
      <c r="AB55" s="306">
        <v>46</v>
      </c>
      <c r="AC55" s="307">
        <f t="shared" ref="AC55:AC83" si="15">AB55/AA55</f>
        <v>0.647887323943662</v>
      </c>
      <c r="AD55" s="308"/>
    </row>
    <row r="56" spans="1:30" x14ac:dyDescent="0.2">
      <c r="A56" s="82" t="s">
        <v>104</v>
      </c>
      <c r="B56" s="81" t="s">
        <v>56</v>
      </c>
      <c r="C56" s="85">
        <v>86</v>
      </c>
      <c r="D56" s="86">
        <v>68</v>
      </c>
      <c r="E56" s="171">
        <f t="shared" si="12"/>
        <v>0.79069767441860461</v>
      </c>
      <c r="F56" s="387"/>
      <c r="G56" s="251">
        <v>90</v>
      </c>
      <c r="H56" s="89">
        <v>76</v>
      </c>
      <c r="I56" s="237">
        <f t="shared" si="13"/>
        <v>0.84444444444444444</v>
      </c>
      <c r="J56" s="259"/>
      <c r="K56" s="89">
        <v>68</v>
      </c>
      <c r="L56" s="89">
        <v>59</v>
      </c>
      <c r="M56" s="237">
        <f t="shared" si="14"/>
        <v>0.86764705882352944</v>
      </c>
      <c r="N56" s="89"/>
      <c r="O56" s="85">
        <v>56</v>
      </c>
      <c r="P56" s="86">
        <v>37</v>
      </c>
      <c r="Q56" s="86">
        <v>66</v>
      </c>
      <c r="R56" s="387"/>
      <c r="S56" s="88">
        <v>46</v>
      </c>
      <c r="T56" s="88">
        <v>30</v>
      </c>
      <c r="U56" s="88">
        <v>65</v>
      </c>
      <c r="V56" s="88"/>
      <c r="W56" s="251">
        <v>45</v>
      </c>
      <c r="X56" s="89">
        <v>35</v>
      </c>
      <c r="Y56" s="92">
        <f>35/45</f>
        <v>0.77777777777777779</v>
      </c>
      <c r="Z56" s="392"/>
      <c r="AA56" s="305">
        <v>54</v>
      </c>
      <c r="AB56" s="306">
        <v>34</v>
      </c>
      <c r="AC56" s="307">
        <f t="shared" si="15"/>
        <v>0.62962962962962965</v>
      </c>
      <c r="AD56" s="308"/>
    </row>
    <row r="57" spans="1:30" x14ac:dyDescent="0.2">
      <c r="A57" s="82" t="s">
        <v>105</v>
      </c>
      <c r="B57" s="81" t="s">
        <v>106</v>
      </c>
      <c r="C57" s="85">
        <v>42</v>
      </c>
      <c r="D57" s="86">
        <v>17</v>
      </c>
      <c r="E57" s="171">
        <f t="shared" si="12"/>
        <v>0.40476190476190477</v>
      </c>
      <c r="F57" s="387"/>
      <c r="G57" s="251">
        <v>34</v>
      </c>
      <c r="H57" s="89">
        <v>17</v>
      </c>
      <c r="I57" s="237">
        <f>H57/G57</f>
        <v>0.5</v>
      </c>
      <c r="J57" s="259"/>
      <c r="K57" s="89"/>
      <c r="L57" s="89"/>
      <c r="M57" s="237"/>
      <c r="N57" s="89"/>
      <c r="O57" s="85"/>
      <c r="P57" s="86"/>
      <c r="Q57" s="86"/>
      <c r="R57" s="387"/>
      <c r="S57" s="88"/>
      <c r="T57" s="88"/>
      <c r="U57" s="88"/>
      <c r="V57" s="88"/>
      <c r="W57" s="251"/>
      <c r="X57" s="89"/>
      <c r="Y57" s="92"/>
      <c r="Z57" s="392"/>
      <c r="AA57" s="305"/>
      <c r="AB57" s="306"/>
      <c r="AC57" s="307"/>
      <c r="AD57" s="308"/>
    </row>
    <row r="58" spans="1:30" x14ac:dyDescent="0.2">
      <c r="A58" s="82" t="s">
        <v>107</v>
      </c>
      <c r="B58" s="81" t="s">
        <v>58</v>
      </c>
      <c r="C58" s="85">
        <v>49</v>
      </c>
      <c r="D58" s="86">
        <v>40</v>
      </c>
      <c r="E58" s="171">
        <f t="shared" si="12"/>
        <v>0.81632653061224492</v>
      </c>
      <c r="F58" s="387"/>
      <c r="G58" s="251">
        <v>40</v>
      </c>
      <c r="H58" s="89">
        <v>32</v>
      </c>
      <c r="I58" s="237">
        <f t="shared" si="13"/>
        <v>0.8</v>
      </c>
      <c r="J58" s="259"/>
      <c r="K58" s="89">
        <v>35</v>
      </c>
      <c r="L58" s="89">
        <v>26</v>
      </c>
      <c r="M58" s="237">
        <f t="shared" si="14"/>
        <v>0.74285714285714288</v>
      </c>
      <c r="N58" s="89"/>
      <c r="O58" s="85">
        <v>29</v>
      </c>
      <c r="P58" s="86">
        <v>10</v>
      </c>
      <c r="Q58" s="86">
        <v>34</v>
      </c>
      <c r="R58" s="387"/>
      <c r="S58" s="88">
        <v>23</v>
      </c>
      <c r="T58" s="88">
        <v>11</v>
      </c>
      <c r="U58" s="88">
        <v>48</v>
      </c>
      <c r="V58" s="88"/>
      <c r="W58" s="251"/>
      <c r="X58" s="89"/>
      <c r="Y58" s="92"/>
      <c r="Z58" s="392"/>
      <c r="AA58" s="305"/>
      <c r="AB58" s="306"/>
      <c r="AC58" s="307"/>
      <c r="AD58" s="308"/>
    </row>
    <row r="59" spans="1:30" x14ac:dyDescent="0.2">
      <c r="A59" s="82" t="s">
        <v>108</v>
      </c>
      <c r="B59" s="81" t="s">
        <v>109</v>
      </c>
      <c r="C59" s="85">
        <v>58</v>
      </c>
      <c r="D59" s="86">
        <v>30</v>
      </c>
      <c r="E59" s="171">
        <f t="shared" si="12"/>
        <v>0.51724137931034486</v>
      </c>
      <c r="F59" s="387"/>
      <c r="G59" s="251">
        <v>41</v>
      </c>
      <c r="H59" s="89">
        <v>24</v>
      </c>
      <c r="I59" s="237">
        <f t="shared" si="13"/>
        <v>0.58536585365853655</v>
      </c>
      <c r="J59" s="259"/>
      <c r="K59" s="89">
        <v>53</v>
      </c>
      <c r="L59" s="89">
        <v>24</v>
      </c>
      <c r="M59" s="237">
        <f t="shared" si="14"/>
        <v>0.45283018867924529</v>
      </c>
      <c r="N59" s="89"/>
      <c r="O59" s="85">
        <v>48</v>
      </c>
      <c r="P59" s="86">
        <v>31</v>
      </c>
      <c r="Q59" s="86">
        <v>64</v>
      </c>
      <c r="R59" s="387"/>
      <c r="S59" s="88">
        <v>46</v>
      </c>
      <c r="T59" s="88">
        <v>29</v>
      </c>
      <c r="U59" s="90">
        <f>29/46</f>
        <v>0.63043478260869568</v>
      </c>
      <c r="V59" s="90"/>
      <c r="W59" s="251">
        <v>65</v>
      </c>
      <c r="X59" s="89">
        <v>36</v>
      </c>
      <c r="Y59" s="92">
        <f>36/65</f>
        <v>0.55384615384615388</v>
      </c>
      <c r="Z59" s="392"/>
      <c r="AA59" s="305">
        <v>52</v>
      </c>
      <c r="AB59" s="306">
        <v>19</v>
      </c>
      <c r="AC59" s="307">
        <f t="shared" si="15"/>
        <v>0.36538461538461536</v>
      </c>
      <c r="AD59" s="308"/>
    </row>
    <row r="60" spans="1:30" x14ac:dyDescent="0.2">
      <c r="A60" s="82" t="s">
        <v>110</v>
      </c>
      <c r="B60" s="81" t="s">
        <v>111</v>
      </c>
      <c r="C60" s="85">
        <v>25</v>
      </c>
      <c r="D60" s="86">
        <v>17</v>
      </c>
      <c r="E60" s="171">
        <f t="shared" si="12"/>
        <v>0.68</v>
      </c>
      <c r="F60" s="387"/>
      <c r="G60" s="251">
        <v>33</v>
      </c>
      <c r="H60" s="89">
        <v>16</v>
      </c>
      <c r="I60" s="237">
        <f t="shared" si="13"/>
        <v>0.48484848484848486</v>
      </c>
      <c r="J60" s="259"/>
      <c r="K60" s="89"/>
      <c r="L60" s="89"/>
      <c r="M60" s="237"/>
      <c r="N60" s="89"/>
      <c r="O60" s="85"/>
      <c r="P60" s="86"/>
      <c r="Q60" s="86"/>
      <c r="R60" s="387"/>
      <c r="S60" s="88"/>
      <c r="T60" s="88"/>
      <c r="U60" s="90"/>
      <c r="V60" s="90"/>
      <c r="W60" s="251"/>
      <c r="X60" s="89"/>
      <c r="Y60" s="92"/>
      <c r="Z60" s="392"/>
      <c r="AA60" s="305"/>
      <c r="AB60" s="306"/>
      <c r="AC60" s="307"/>
      <c r="AD60" s="308"/>
    </row>
    <row r="61" spans="1:30" x14ac:dyDescent="0.2">
      <c r="A61" s="82" t="s">
        <v>112</v>
      </c>
      <c r="B61" s="81" t="s">
        <v>113</v>
      </c>
      <c r="C61" s="85">
        <v>26</v>
      </c>
      <c r="D61" s="86">
        <v>17</v>
      </c>
      <c r="E61" s="171">
        <f t="shared" si="12"/>
        <v>0.65384615384615385</v>
      </c>
      <c r="F61" s="387"/>
      <c r="G61" s="251">
        <v>21</v>
      </c>
      <c r="H61" s="89">
        <v>15</v>
      </c>
      <c r="I61" s="237">
        <f t="shared" si="13"/>
        <v>0.7142857142857143</v>
      </c>
      <c r="J61" s="259"/>
      <c r="K61" s="89"/>
      <c r="L61" s="89"/>
      <c r="M61" s="237"/>
      <c r="N61" s="89"/>
      <c r="O61" s="85"/>
      <c r="P61" s="86"/>
      <c r="Q61" s="86"/>
      <c r="R61" s="387"/>
      <c r="S61" s="88"/>
      <c r="T61" s="88"/>
      <c r="U61" s="90"/>
      <c r="V61" s="90"/>
      <c r="W61" s="251"/>
      <c r="X61" s="89"/>
      <c r="Y61" s="92"/>
      <c r="Z61" s="392"/>
      <c r="AA61" s="305"/>
      <c r="AB61" s="306"/>
      <c r="AC61" s="307"/>
      <c r="AD61" s="308"/>
    </row>
    <row r="62" spans="1:30" x14ac:dyDescent="0.2">
      <c r="A62" s="82" t="s">
        <v>114</v>
      </c>
      <c r="B62" s="81" t="s">
        <v>115</v>
      </c>
      <c r="C62" s="85">
        <v>24</v>
      </c>
      <c r="D62" s="86">
        <v>11</v>
      </c>
      <c r="E62" s="171">
        <f t="shared" si="12"/>
        <v>0.45833333333333331</v>
      </c>
      <c r="F62" s="387"/>
      <c r="G62" s="251">
        <v>25</v>
      </c>
      <c r="H62" s="89">
        <v>14</v>
      </c>
      <c r="I62" s="237">
        <f t="shared" ref="I62" si="16">H62/G62</f>
        <v>0.56000000000000005</v>
      </c>
      <c r="J62" s="259"/>
      <c r="K62" s="89">
        <v>15</v>
      </c>
      <c r="L62" s="89">
        <v>12</v>
      </c>
      <c r="M62" s="237">
        <f t="shared" si="14"/>
        <v>0.8</v>
      </c>
      <c r="N62" s="89"/>
      <c r="O62" s="85">
        <v>20</v>
      </c>
      <c r="P62" s="86">
        <v>5</v>
      </c>
      <c r="Q62" s="86">
        <v>25</v>
      </c>
      <c r="R62" s="387"/>
      <c r="S62" s="88"/>
      <c r="T62" s="88"/>
      <c r="U62" s="90"/>
      <c r="V62" s="90"/>
      <c r="W62" s="251"/>
      <c r="X62" s="89"/>
      <c r="Y62" s="92"/>
      <c r="Z62" s="392"/>
      <c r="AA62" s="305"/>
      <c r="AB62" s="306"/>
      <c r="AC62" s="307"/>
      <c r="AD62" s="308"/>
    </row>
    <row r="63" spans="1:30" x14ac:dyDescent="0.2">
      <c r="A63" s="82" t="s">
        <v>116</v>
      </c>
      <c r="B63" s="81" t="s">
        <v>64</v>
      </c>
      <c r="C63" s="85">
        <v>61</v>
      </c>
      <c r="D63" s="86">
        <v>36</v>
      </c>
      <c r="E63" s="171">
        <f t="shared" si="12"/>
        <v>0.5901639344262295</v>
      </c>
      <c r="F63" s="387"/>
      <c r="G63" s="251">
        <v>46</v>
      </c>
      <c r="H63" s="89">
        <v>21</v>
      </c>
      <c r="I63" s="237">
        <f t="shared" ref="I63:I70" si="17">H63/G63</f>
        <v>0.45652173913043476</v>
      </c>
      <c r="J63" s="259"/>
      <c r="K63" s="89">
        <v>51</v>
      </c>
      <c r="L63" s="89">
        <v>39</v>
      </c>
      <c r="M63" s="237">
        <f t="shared" si="14"/>
        <v>0.76470588235294112</v>
      </c>
      <c r="N63" s="89"/>
      <c r="O63" s="85">
        <v>50</v>
      </c>
      <c r="P63" s="86">
        <v>26</v>
      </c>
      <c r="Q63" s="86">
        <v>52</v>
      </c>
      <c r="R63" s="387"/>
      <c r="S63" s="88">
        <v>99</v>
      </c>
      <c r="T63" s="88">
        <v>62</v>
      </c>
      <c r="U63" s="88">
        <v>62.5</v>
      </c>
      <c r="V63" s="88"/>
      <c r="W63" s="251">
        <v>54</v>
      </c>
      <c r="X63" s="89">
        <v>49</v>
      </c>
      <c r="Y63" s="92">
        <f>49/54</f>
        <v>0.90740740740740744</v>
      </c>
      <c r="Z63" s="392"/>
      <c r="AA63" s="305">
        <v>83</v>
      </c>
      <c r="AB63" s="306">
        <v>51</v>
      </c>
      <c r="AC63" s="307">
        <f t="shared" si="15"/>
        <v>0.61445783132530118</v>
      </c>
      <c r="AD63" s="308"/>
    </row>
    <row r="64" spans="1:30" x14ac:dyDescent="0.2">
      <c r="A64" s="82" t="s">
        <v>117</v>
      </c>
      <c r="B64" s="81" t="s">
        <v>118</v>
      </c>
      <c r="C64" s="85">
        <v>128</v>
      </c>
      <c r="D64" s="86">
        <v>97</v>
      </c>
      <c r="E64" s="171">
        <f t="shared" si="12"/>
        <v>0.7578125</v>
      </c>
      <c r="F64" s="387"/>
      <c r="G64" s="251">
        <v>118</v>
      </c>
      <c r="H64" s="89">
        <v>81</v>
      </c>
      <c r="I64" s="237">
        <f t="shared" si="17"/>
        <v>0.68644067796610164</v>
      </c>
      <c r="J64" s="259"/>
      <c r="K64" s="89"/>
      <c r="L64" s="89"/>
      <c r="M64" s="237"/>
      <c r="N64" s="89"/>
      <c r="O64" s="85"/>
      <c r="P64" s="86"/>
      <c r="Q64" s="86"/>
      <c r="R64" s="387"/>
      <c r="S64" s="88"/>
      <c r="T64" s="88"/>
      <c r="U64" s="88"/>
      <c r="V64" s="88"/>
      <c r="W64" s="251"/>
      <c r="X64" s="89"/>
      <c r="Y64" s="92"/>
      <c r="Z64" s="392"/>
      <c r="AA64" s="305"/>
      <c r="AB64" s="306"/>
      <c r="AC64" s="307"/>
      <c r="AD64" s="308"/>
    </row>
    <row r="65" spans="1:30" x14ac:dyDescent="0.2">
      <c r="A65" s="82" t="s">
        <v>119</v>
      </c>
      <c r="B65" s="81" t="s">
        <v>66</v>
      </c>
      <c r="C65" s="85">
        <v>83</v>
      </c>
      <c r="D65" s="86">
        <v>56</v>
      </c>
      <c r="E65" s="171">
        <f t="shared" si="12"/>
        <v>0.67469879518072284</v>
      </c>
      <c r="F65" s="387"/>
      <c r="G65" s="251">
        <v>87</v>
      </c>
      <c r="H65" s="89">
        <v>57</v>
      </c>
      <c r="I65" s="237">
        <f t="shared" si="17"/>
        <v>0.65517241379310343</v>
      </c>
      <c r="J65" s="259"/>
      <c r="K65" s="89">
        <v>68</v>
      </c>
      <c r="L65" s="89">
        <v>44</v>
      </c>
      <c r="M65" s="237">
        <f t="shared" si="14"/>
        <v>0.6470588235294118</v>
      </c>
      <c r="N65" s="89"/>
      <c r="O65" s="85">
        <v>90</v>
      </c>
      <c r="P65" s="86">
        <v>56</v>
      </c>
      <c r="Q65" s="86">
        <v>62</v>
      </c>
      <c r="R65" s="387"/>
      <c r="S65" s="88">
        <v>156</v>
      </c>
      <c r="T65" s="88">
        <v>112</v>
      </c>
      <c r="U65" s="88">
        <v>72</v>
      </c>
      <c r="V65" s="88"/>
      <c r="W65" s="251">
        <v>93</v>
      </c>
      <c r="X65" s="89">
        <v>65</v>
      </c>
      <c r="Y65" s="143">
        <f>65/93</f>
        <v>0.69892473118279574</v>
      </c>
      <c r="Z65" s="152"/>
      <c r="AA65" s="309">
        <v>66</v>
      </c>
      <c r="AB65" s="310">
        <v>30</v>
      </c>
      <c r="AC65" s="307">
        <f t="shared" si="15"/>
        <v>0.45454545454545453</v>
      </c>
      <c r="AD65" s="311"/>
    </row>
    <row r="66" spans="1:30" x14ac:dyDescent="0.2">
      <c r="A66" s="82" t="s">
        <v>120</v>
      </c>
      <c r="B66" s="81" t="s">
        <v>68</v>
      </c>
      <c r="C66" s="85">
        <v>44</v>
      </c>
      <c r="D66" s="86">
        <v>41</v>
      </c>
      <c r="E66" s="171">
        <f t="shared" si="12"/>
        <v>0.93181818181818177</v>
      </c>
      <c r="F66" s="387"/>
      <c r="G66" s="251">
        <v>28</v>
      </c>
      <c r="H66" s="89">
        <v>23</v>
      </c>
      <c r="I66" s="237">
        <f t="shared" si="17"/>
        <v>0.8214285714285714</v>
      </c>
      <c r="J66" s="259"/>
      <c r="K66" s="89"/>
      <c r="L66" s="89"/>
      <c r="M66" s="237"/>
      <c r="N66" s="89"/>
      <c r="O66" s="85"/>
      <c r="P66" s="86"/>
      <c r="Q66" s="86"/>
      <c r="R66" s="387"/>
      <c r="S66" s="88"/>
      <c r="T66" s="88"/>
      <c r="U66" s="88"/>
      <c r="V66" s="88"/>
      <c r="W66" s="251"/>
      <c r="X66" s="89"/>
      <c r="Y66" s="143"/>
      <c r="Z66" s="152"/>
      <c r="AA66" s="309"/>
      <c r="AB66" s="310"/>
      <c r="AC66" s="307"/>
      <c r="AD66" s="311"/>
    </row>
    <row r="67" spans="1:30" x14ac:dyDescent="0.2">
      <c r="A67" s="82" t="s">
        <v>121</v>
      </c>
      <c r="B67" s="81" t="s">
        <v>122</v>
      </c>
      <c r="C67" s="85">
        <v>33</v>
      </c>
      <c r="D67" s="86">
        <v>22</v>
      </c>
      <c r="E67" s="171">
        <f t="shared" si="12"/>
        <v>0.66666666666666663</v>
      </c>
      <c r="F67" s="387"/>
      <c r="G67" s="251">
        <v>50</v>
      </c>
      <c r="H67" s="89">
        <v>37</v>
      </c>
      <c r="I67" s="237">
        <f t="shared" si="17"/>
        <v>0.74</v>
      </c>
      <c r="J67" s="259"/>
      <c r="K67" s="89">
        <v>62</v>
      </c>
      <c r="L67" s="89">
        <v>40</v>
      </c>
      <c r="M67" s="237">
        <f t="shared" si="14"/>
        <v>0.64516129032258063</v>
      </c>
      <c r="N67" s="89"/>
      <c r="O67" s="85">
        <v>59</v>
      </c>
      <c r="P67" s="86">
        <v>40</v>
      </c>
      <c r="Q67" s="86">
        <v>68</v>
      </c>
      <c r="R67" s="387"/>
      <c r="S67" s="88">
        <v>53</v>
      </c>
      <c r="T67" s="88">
        <v>37</v>
      </c>
      <c r="U67" s="88">
        <v>70</v>
      </c>
      <c r="V67" s="88"/>
      <c r="W67" s="251">
        <v>67</v>
      </c>
      <c r="X67" s="89">
        <v>52</v>
      </c>
      <c r="Y67" s="143">
        <f>52/67</f>
        <v>0.77611940298507465</v>
      </c>
      <c r="Z67" s="152"/>
      <c r="AA67" s="309">
        <v>41</v>
      </c>
      <c r="AB67" s="310">
        <v>28</v>
      </c>
      <c r="AC67" s="307">
        <f t="shared" si="15"/>
        <v>0.68292682926829273</v>
      </c>
      <c r="AD67" s="311"/>
    </row>
    <row r="68" spans="1:30" x14ac:dyDescent="0.2">
      <c r="A68" s="82" t="s">
        <v>123</v>
      </c>
      <c r="B68" s="81" t="s">
        <v>124</v>
      </c>
      <c r="C68" s="85">
        <v>19</v>
      </c>
      <c r="D68" s="86">
        <v>8</v>
      </c>
      <c r="E68" s="171">
        <f t="shared" si="12"/>
        <v>0.42105263157894735</v>
      </c>
      <c r="F68" s="387"/>
      <c r="G68" s="251"/>
      <c r="H68" s="89"/>
      <c r="I68" s="237"/>
      <c r="J68" s="259"/>
      <c r="K68" s="89"/>
      <c r="L68" s="89"/>
      <c r="M68" s="237"/>
      <c r="N68" s="89"/>
      <c r="O68" s="85"/>
      <c r="P68" s="86"/>
      <c r="Q68" s="86"/>
      <c r="R68" s="387"/>
      <c r="S68" s="88"/>
      <c r="T68" s="88"/>
      <c r="U68" s="88"/>
      <c r="V68" s="88"/>
      <c r="W68" s="251"/>
      <c r="X68" s="89"/>
      <c r="Y68" s="143"/>
      <c r="Z68" s="152"/>
      <c r="AA68" s="309"/>
      <c r="AB68" s="310"/>
      <c r="AC68" s="307"/>
      <c r="AD68" s="311"/>
    </row>
    <row r="69" spans="1:30" x14ac:dyDescent="0.2">
      <c r="A69" s="82" t="s">
        <v>125</v>
      </c>
      <c r="B69" s="81" t="s">
        <v>126</v>
      </c>
      <c r="C69" s="85">
        <v>120</v>
      </c>
      <c r="D69" s="86">
        <v>102</v>
      </c>
      <c r="E69" s="171">
        <f t="shared" si="12"/>
        <v>0.85</v>
      </c>
      <c r="F69" s="387"/>
      <c r="G69" s="251">
        <v>85</v>
      </c>
      <c r="H69" s="89">
        <v>72</v>
      </c>
      <c r="I69" s="237">
        <f t="shared" si="17"/>
        <v>0.84705882352941175</v>
      </c>
      <c r="J69" s="259"/>
      <c r="K69" s="89">
        <v>89</v>
      </c>
      <c r="L69" s="89">
        <v>67</v>
      </c>
      <c r="M69" s="237">
        <f t="shared" si="14"/>
        <v>0.7528089887640449</v>
      </c>
      <c r="N69" s="89"/>
      <c r="O69" s="85">
        <v>91</v>
      </c>
      <c r="P69" s="86">
        <v>69</v>
      </c>
      <c r="Q69" s="86">
        <v>76</v>
      </c>
      <c r="R69" s="387"/>
      <c r="S69" s="88">
        <v>81</v>
      </c>
      <c r="T69" s="88">
        <v>56</v>
      </c>
      <c r="U69" s="90">
        <f>56/81</f>
        <v>0.69135802469135799</v>
      </c>
      <c r="V69" s="90"/>
      <c r="W69" s="251">
        <v>74</v>
      </c>
      <c r="X69" s="89">
        <v>51</v>
      </c>
      <c r="Y69" s="92">
        <f>51/74</f>
        <v>0.68918918918918914</v>
      </c>
      <c r="Z69" s="392"/>
      <c r="AA69" s="305">
        <v>47</v>
      </c>
      <c r="AB69" s="306">
        <v>35</v>
      </c>
      <c r="AC69" s="307">
        <f t="shared" si="15"/>
        <v>0.74468085106382975</v>
      </c>
      <c r="AD69" s="308"/>
    </row>
    <row r="70" spans="1:30" x14ac:dyDescent="0.2">
      <c r="A70" s="82" t="s">
        <v>127</v>
      </c>
      <c r="B70" s="81" t="s">
        <v>128</v>
      </c>
      <c r="C70" s="85">
        <v>39</v>
      </c>
      <c r="D70" s="86">
        <v>31</v>
      </c>
      <c r="E70" s="171">
        <f t="shared" si="12"/>
        <v>0.79487179487179482</v>
      </c>
      <c r="F70" s="387"/>
      <c r="G70" s="251">
        <v>23</v>
      </c>
      <c r="H70" s="89">
        <v>21</v>
      </c>
      <c r="I70" s="237">
        <f t="shared" si="17"/>
        <v>0.91304347826086951</v>
      </c>
      <c r="J70" s="259"/>
      <c r="K70" s="89"/>
      <c r="L70" s="89"/>
      <c r="M70" s="237"/>
      <c r="N70" s="89"/>
      <c r="O70" s="85"/>
      <c r="P70" s="86"/>
      <c r="Q70" s="86"/>
      <c r="R70" s="387"/>
      <c r="S70" s="88"/>
      <c r="T70" s="88"/>
      <c r="U70" s="90"/>
      <c r="V70" s="90"/>
      <c r="W70" s="251"/>
      <c r="X70" s="89"/>
      <c r="Y70" s="92"/>
      <c r="Z70" s="392"/>
      <c r="AA70" s="305"/>
      <c r="AB70" s="306"/>
      <c r="AC70" s="307"/>
      <c r="AD70" s="308"/>
    </row>
    <row r="71" spans="1:30" x14ac:dyDescent="0.2">
      <c r="A71" s="82" t="s">
        <v>129</v>
      </c>
      <c r="B71" s="81" t="s">
        <v>130</v>
      </c>
      <c r="C71" s="85">
        <v>102</v>
      </c>
      <c r="D71" s="86">
        <v>84</v>
      </c>
      <c r="E71" s="171">
        <f t="shared" si="12"/>
        <v>0.82352941176470584</v>
      </c>
      <c r="F71" s="387"/>
      <c r="G71" s="251">
        <v>81</v>
      </c>
      <c r="H71" s="89">
        <v>73</v>
      </c>
      <c r="I71" s="237">
        <f t="shared" ref="I71:I83" si="18">H71/G71</f>
        <v>0.90123456790123457</v>
      </c>
      <c r="J71" s="259"/>
      <c r="K71" s="89">
        <v>75</v>
      </c>
      <c r="L71" s="89">
        <v>57</v>
      </c>
      <c r="M71" s="237">
        <f t="shared" si="14"/>
        <v>0.76</v>
      </c>
      <c r="N71" s="89"/>
      <c r="O71" s="85">
        <v>68</v>
      </c>
      <c r="P71" s="86">
        <v>60</v>
      </c>
      <c r="Q71" s="86">
        <v>88</v>
      </c>
      <c r="R71" s="387"/>
      <c r="S71" s="88">
        <v>77</v>
      </c>
      <c r="T71" s="88">
        <v>67</v>
      </c>
      <c r="U71" s="88">
        <v>87</v>
      </c>
      <c r="V71" s="88"/>
      <c r="W71" s="251">
        <v>128</v>
      </c>
      <c r="X71" s="89">
        <v>103</v>
      </c>
      <c r="Y71" s="143">
        <f>103/128</f>
        <v>0.8046875</v>
      </c>
      <c r="Z71" s="152"/>
      <c r="AA71" s="309">
        <v>104</v>
      </c>
      <c r="AB71" s="310">
        <v>97</v>
      </c>
      <c r="AC71" s="307">
        <f t="shared" si="15"/>
        <v>0.93269230769230771</v>
      </c>
      <c r="AD71" s="311"/>
    </row>
    <row r="72" spans="1:30" x14ac:dyDescent="0.2">
      <c r="A72" s="82" t="s">
        <v>131</v>
      </c>
      <c r="B72" s="81" t="s">
        <v>74</v>
      </c>
      <c r="C72" s="85">
        <v>13</v>
      </c>
      <c r="D72" s="86">
        <v>11</v>
      </c>
      <c r="E72" s="171">
        <f t="shared" si="12"/>
        <v>0.84615384615384615</v>
      </c>
      <c r="F72" s="387"/>
      <c r="G72" s="251">
        <v>17</v>
      </c>
      <c r="H72" s="89">
        <v>16</v>
      </c>
      <c r="I72" s="237">
        <f t="shared" si="18"/>
        <v>0.94117647058823528</v>
      </c>
      <c r="J72" s="259"/>
      <c r="K72" s="89">
        <v>31</v>
      </c>
      <c r="L72" s="89">
        <v>30</v>
      </c>
      <c r="M72" s="237">
        <f t="shared" si="14"/>
        <v>0.967741935483871</v>
      </c>
      <c r="N72" s="89"/>
      <c r="O72" s="85">
        <v>30</v>
      </c>
      <c r="P72" s="86">
        <v>27</v>
      </c>
      <c r="Q72" s="86">
        <v>90</v>
      </c>
      <c r="R72" s="387"/>
      <c r="S72" s="88">
        <v>50</v>
      </c>
      <c r="T72" s="88">
        <v>50</v>
      </c>
      <c r="U72" s="140">
        <v>1</v>
      </c>
      <c r="V72" s="140"/>
      <c r="W72" s="251">
        <v>51</v>
      </c>
      <c r="X72" s="89">
        <v>43</v>
      </c>
      <c r="Y72" s="143">
        <f>43/51</f>
        <v>0.84313725490196079</v>
      </c>
      <c r="Z72" s="152"/>
      <c r="AA72" s="309">
        <v>38</v>
      </c>
      <c r="AB72" s="310">
        <v>36</v>
      </c>
      <c r="AC72" s="307">
        <f t="shared" si="15"/>
        <v>0.94736842105263153</v>
      </c>
      <c r="AD72" s="311"/>
    </row>
    <row r="73" spans="1:30" x14ac:dyDescent="0.2">
      <c r="A73" s="82" t="s">
        <v>132</v>
      </c>
      <c r="B73" s="81" t="s">
        <v>133</v>
      </c>
      <c r="C73" s="85">
        <v>29</v>
      </c>
      <c r="D73" s="86">
        <v>26</v>
      </c>
      <c r="E73" s="171">
        <f t="shared" si="12"/>
        <v>0.89655172413793105</v>
      </c>
      <c r="F73" s="387"/>
      <c r="G73" s="251">
        <v>34</v>
      </c>
      <c r="H73" s="89">
        <v>32</v>
      </c>
      <c r="I73" s="237">
        <f t="shared" si="18"/>
        <v>0.94117647058823528</v>
      </c>
      <c r="J73" s="259"/>
      <c r="K73" s="89">
        <v>22</v>
      </c>
      <c r="L73" s="89">
        <v>22</v>
      </c>
      <c r="M73" s="237">
        <f t="shared" si="14"/>
        <v>1</v>
      </c>
      <c r="N73" s="89"/>
      <c r="O73" s="85"/>
      <c r="P73" s="86"/>
      <c r="Q73" s="86"/>
      <c r="R73" s="387"/>
      <c r="S73" s="88"/>
      <c r="T73" s="88"/>
      <c r="U73" s="140"/>
      <c r="V73" s="140"/>
      <c r="W73" s="251"/>
      <c r="X73" s="89"/>
      <c r="Y73" s="143"/>
      <c r="Z73" s="152"/>
      <c r="AA73" s="309"/>
      <c r="AB73" s="310"/>
      <c r="AC73" s="307"/>
      <c r="AD73" s="311"/>
    </row>
    <row r="74" spans="1:30" x14ac:dyDescent="0.2">
      <c r="A74" s="82" t="s">
        <v>134</v>
      </c>
      <c r="B74" s="81" t="s">
        <v>135</v>
      </c>
      <c r="C74" s="85">
        <v>72</v>
      </c>
      <c r="D74" s="86">
        <v>41</v>
      </c>
      <c r="E74" s="171">
        <f t="shared" si="12"/>
        <v>0.56944444444444442</v>
      </c>
      <c r="F74" s="387"/>
      <c r="G74" s="251">
        <v>76</v>
      </c>
      <c r="H74" s="89">
        <v>47</v>
      </c>
      <c r="I74" s="237">
        <f t="shared" si="18"/>
        <v>0.61842105263157898</v>
      </c>
      <c r="J74" s="259"/>
      <c r="K74" s="89"/>
      <c r="L74" s="89"/>
      <c r="M74" s="237"/>
      <c r="N74" s="89"/>
      <c r="O74" s="85"/>
      <c r="P74" s="86"/>
      <c r="Q74" s="86"/>
      <c r="R74" s="387"/>
      <c r="S74" s="88"/>
      <c r="T74" s="88"/>
      <c r="U74" s="140"/>
      <c r="V74" s="140"/>
      <c r="W74" s="251"/>
      <c r="X74" s="89"/>
      <c r="Y74" s="143"/>
      <c r="Z74" s="152"/>
      <c r="AA74" s="309"/>
      <c r="AB74" s="310"/>
      <c r="AC74" s="307"/>
      <c r="AD74" s="311"/>
    </row>
    <row r="75" spans="1:30" x14ac:dyDescent="0.2">
      <c r="A75" s="82" t="s">
        <v>136</v>
      </c>
      <c r="B75" s="81" t="s">
        <v>137</v>
      </c>
      <c r="C75" s="85">
        <v>45</v>
      </c>
      <c r="D75" s="86">
        <v>22</v>
      </c>
      <c r="E75" s="171">
        <f t="shared" si="12"/>
        <v>0.48888888888888887</v>
      </c>
      <c r="F75" s="387"/>
      <c r="G75" s="251">
        <v>40</v>
      </c>
      <c r="H75" s="89">
        <v>21</v>
      </c>
      <c r="I75" s="237">
        <f t="shared" si="18"/>
        <v>0.52500000000000002</v>
      </c>
      <c r="J75" s="259"/>
      <c r="K75" s="89"/>
      <c r="L75" s="89"/>
      <c r="M75" s="237"/>
      <c r="N75" s="89"/>
      <c r="O75" s="85"/>
      <c r="P75" s="86"/>
      <c r="Q75" s="86"/>
      <c r="R75" s="387"/>
      <c r="S75" s="88"/>
      <c r="T75" s="88"/>
      <c r="U75" s="140"/>
      <c r="V75" s="140"/>
      <c r="W75" s="251"/>
      <c r="X75" s="89"/>
      <c r="Y75" s="143"/>
      <c r="Z75" s="152"/>
      <c r="AA75" s="309"/>
      <c r="AB75" s="310"/>
      <c r="AC75" s="307"/>
      <c r="AD75" s="311"/>
    </row>
    <row r="76" spans="1:30" x14ac:dyDescent="0.2">
      <c r="A76" s="82" t="s">
        <v>138</v>
      </c>
      <c r="B76" s="81" t="s">
        <v>76</v>
      </c>
      <c r="C76" s="85">
        <v>41</v>
      </c>
      <c r="D76" s="86">
        <v>25</v>
      </c>
      <c r="E76" s="171">
        <f t="shared" si="12"/>
        <v>0.6097560975609756</v>
      </c>
      <c r="F76" s="387"/>
      <c r="G76" s="251">
        <v>30</v>
      </c>
      <c r="H76" s="89">
        <v>21</v>
      </c>
      <c r="I76" s="237">
        <f t="shared" si="18"/>
        <v>0.7</v>
      </c>
      <c r="J76" s="259"/>
      <c r="K76" s="89">
        <v>45</v>
      </c>
      <c r="L76" s="89">
        <v>27</v>
      </c>
      <c r="M76" s="237">
        <f t="shared" si="14"/>
        <v>0.6</v>
      </c>
      <c r="N76" s="89"/>
      <c r="O76" s="85">
        <v>38</v>
      </c>
      <c r="P76" s="86">
        <v>25</v>
      </c>
      <c r="Q76" s="86">
        <v>66</v>
      </c>
      <c r="R76" s="387"/>
      <c r="S76" s="88">
        <v>59</v>
      </c>
      <c r="T76" s="88">
        <v>36</v>
      </c>
      <c r="U76" s="88">
        <v>61</v>
      </c>
      <c r="V76" s="88"/>
      <c r="W76" s="251">
        <v>74</v>
      </c>
      <c r="X76" s="89">
        <v>57</v>
      </c>
      <c r="Y76" s="143">
        <f>57/74</f>
        <v>0.77027027027027029</v>
      </c>
      <c r="Z76" s="152"/>
      <c r="AA76" s="309">
        <v>38</v>
      </c>
      <c r="AB76" s="310">
        <v>24</v>
      </c>
      <c r="AC76" s="307">
        <f t="shared" si="15"/>
        <v>0.63157894736842102</v>
      </c>
      <c r="AD76" s="311"/>
    </row>
    <row r="77" spans="1:30" x14ac:dyDescent="0.2">
      <c r="A77" s="82" t="s">
        <v>139</v>
      </c>
      <c r="B77" s="81" t="s">
        <v>140</v>
      </c>
      <c r="C77" s="85">
        <v>23</v>
      </c>
      <c r="D77" s="86">
        <v>17</v>
      </c>
      <c r="E77" s="171">
        <f t="shared" si="12"/>
        <v>0.73913043478260865</v>
      </c>
      <c r="F77" s="387"/>
      <c r="G77" s="251">
        <v>23</v>
      </c>
      <c r="H77" s="89">
        <v>19</v>
      </c>
      <c r="I77" s="237">
        <f t="shared" si="18"/>
        <v>0.82608695652173914</v>
      </c>
      <c r="J77" s="259"/>
      <c r="K77" s="89">
        <v>27</v>
      </c>
      <c r="L77" s="89">
        <v>18</v>
      </c>
      <c r="M77" s="237">
        <f t="shared" si="14"/>
        <v>0.66666666666666663</v>
      </c>
      <c r="N77" s="89"/>
      <c r="O77" s="85">
        <v>50</v>
      </c>
      <c r="P77" s="86">
        <v>33</v>
      </c>
      <c r="Q77" s="86">
        <v>66</v>
      </c>
      <c r="R77" s="387"/>
      <c r="S77" s="88">
        <v>42</v>
      </c>
      <c r="T77" s="88">
        <v>27</v>
      </c>
      <c r="U77" s="88">
        <v>64</v>
      </c>
      <c r="V77" s="88"/>
      <c r="W77" s="251">
        <v>34</v>
      </c>
      <c r="X77" s="89">
        <v>22</v>
      </c>
      <c r="Y77" s="143">
        <f>22/34</f>
        <v>0.6470588235294118</v>
      </c>
      <c r="Z77" s="152"/>
      <c r="AA77" s="309">
        <v>36</v>
      </c>
      <c r="AB77" s="310">
        <v>23</v>
      </c>
      <c r="AC77" s="307">
        <f t="shared" si="15"/>
        <v>0.63888888888888884</v>
      </c>
      <c r="AD77" s="311"/>
    </row>
    <row r="78" spans="1:30" x14ac:dyDescent="0.2">
      <c r="A78" s="82" t="s">
        <v>141</v>
      </c>
      <c r="B78" s="81" t="s">
        <v>78</v>
      </c>
      <c r="C78" s="85">
        <v>48</v>
      </c>
      <c r="D78" s="86">
        <v>39</v>
      </c>
      <c r="E78" s="171">
        <f t="shared" si="12"/>
        <v>0.8125</v>
      </c>
      <c r="F78" s="387"/>
      <c r="G78" s="251">
        <v>56</v>
      </c>
      <c r="H78" s="89">
        <v>42</v>
      </c>
      <c r="I78" s="237">
        <f t="shared" si="18"/>
        <v>0.75</v>
      </c>
      <c r="J78" s="259"/>
      <c r="K78" s="89">
        <v>57</v>
      </c>
      <c r="L78" s="89">
        <v>35</v>
      </c>
      <c r="M78" s="237">
        <f t="shared" si="14"/>
        <v>0.61403508771929827</v>
      </c>
      <c r="N78" s="89"/>
      <c r="O78" s="85">
        <v>62</v>
      </c>
      <c r="P78" s="86">
        <v>41</v>
      </c>
      <c r="Q78" s="86">
        <v>66</v>
      </c>
      <c r="R78" s="387"/>
      <c r="S78" s="88">
        <v>69</v>
      </c>
      <c r="T78" s="88">
        <v>44</v>
      </c>
      <c r="U78" s="140">
        <f>44/69</f>
        <v>0.6376811594202898</v>
      </c>
      <c r="V78" s="140"/>
      <c r="W78" s="251">
        <v>72</v>
      </c>
      <c r="X78" s="89">
        <v>50</v>
      </c>
      <c r="Y78" s="143">
        <f>50/72</f>
        <v>0.69444444444444442</v>
      </c>
      <c r="Z78" s="152"/>
      <c r="AA78" s="309">
        <v>39</v>
      </c>
      <c r="AB78" s="310">
        <v>32</v>
      </c>
      <c r="AC78" s="307">
        <f t="shared" si="15"/>
        <v>0.82051282051282048</v>
      </c>
      <c r="AD78" s="311"/>
    </row>
    <row r="79" spans="1:30" x14ac:dyDescent="0.2">
      <c r="A79" s="82" t="s">
        <v>142</v>
      </c>
      <c r="B79" s="81" t="s">
        <v>143</v>
      </c>
      <c r="C79" s="85">
        <v>64</v>
      </c>
      <c r="D79" s="86">
        <v>47</v>
      </c>
      <c r="E79" s="171">
        <f t="shared" si="12"/>
        <v>0.734375</v>
      </c>
      <c r="F79" s="387"/>
      <c r="G79" s="251">
        <v>44</v>
      </c>
      <c r="H79" s="89">
        <v>33</v>
      </c>
      <c r="I79" s="237">
        <f t="shared" si="18"/>
        <v>0.75</v>
      </c>
      <c r="J79" s="259"/>
      <c r="K79" s="89">
        <v>44</v>
      </c>
      <c r="L79" s="89">
        <v>33</v>
      </c>
      <c r="M79" s="237">
        <f t="shared" si="14"/>
        <v>0.75</v>
      </c>
      <c r="N79" s="89"/>
      <c r="O79" s="85">
        <v>54</v>
      </c>
      <c r="P79" s="86">
        <v>36</v>
      </c>
      <c r="Q79" s="86">
        <v>66</v>
      </c>
      <c r="R79" s="387"/>
      <c r="S79" s="88">
        <v>72</v>
      </c>
      <c r="T79" s="88">
        <v>55</v>
      </c>
      <c r="U79" s="140">
        <v>0.76</v>
      </c>
      <c r="V79" s="140"/>
      <c r="W79" s="251">
        <v>48</v>
      </c>
      <c r="X79" s="89">
        <v>36</v>
      </c>
      <c r="Y79" s="143">
        <f>36/48</f>
        <v>0.75</v>
      </c>
      <c r="Z79" s="152"/>
      <c r="AA79" s="309">
        <v>15</v>
      </c>
      <c r="AB79" s="310">
        <v>15</v>
      </c>
      <c r="AC79" s="307">
        <f t="shared" si="15"/>
        <v>1</v>
      </c>
      <c r="AD79" s="311"/>
    </row>
    <row r="80" spans="1:30" x14ac:dyDescent="0.2">
      <c r="A80" s="82" t="s">
        <v>144</v>
      </c>
      <c r="B80" s="81" t="s">
        <v>145</v>
      </c>
      <c r="C80" s="85">
        <v>12</v>
      </c>
      <c r="D80" s="86">
        <v>7</v>
      </c>
      <c r="E80" s="171">
        <f t="shared" si="12"/>
        <v>0.58333333333333337</v>
      </c>
      <c r="F80" s="387"/>
      <c r="G80" s="251">
        <v>14</v>
      </c>
      <c r="H80" s="89">
        <v>8</v>
      </c>
      <c r="I80" s="237">
        <f t="shared" si="18"/>
        <v>0.5714285714285714</v>
      </c>
      <c r="J80" s="259"/>
      <c r="K80" s="89"/>
      <c r="L80" s="89"/>
      <c r="M80" s="237"/>
      <c r="N80" s="89"/>
      <c r="O80" s="85"/>
      <c r="P80" s="86"/>
      <c r="Q80" s="86"/>
      <c r="R80" s="387"/>
      <c r="S80" s="88"/>
      <c r="T80" s="88"/>
      <c r="U80" s="140"/>
      <c r="V80" s="140"/>
      <c r="W80" s="251"/>
      <c r="X80" s="89"/>
      <c r="Y80" s="143"/>
      <c r="Z80" s="152"/>
      <c r="AA80" s="309"/>
      <c r="AB80" s="310"/>
      <c r="AC80" s="307"/>
      <c r="AD80" s="311"/>
    </row>
    <row r="81" spans="1:30" x14ac:dyDescent="0.2">
      <c r="A81" s="82" t="s">
        <v>146</v>
      </c>
      <c r="B81" s="81" t="s">
        <v>81</v>
      </c>
      <c r="C81" s="85">
        <v>30</v>
      </c>
      <c r="D81" s="86">
        <v>21</v>
      </c>
      <c r="E81" s="171">
        <f t="shared" si="12"/>
        <v>0.7</v>
      </c>
      <c r="F81" s="387"/>
      <c r="G81" s="251">
        <v>33</v>
      </c>
      <c r="H81" s="89">
        <v>20</v>
      </c>
      <c r="I81" s="237">
        <f t="shared" si="18"/>
        <v>0.60606060606060608</v>
      </c>
      <c r="J81" s="259"/>
      <c r="K81" s="89">
        <v>41</v>
      </c>
      <c r="L81" s="89">
        <v>21</v>
      </c>
      <c r="M81" s="237">
        <f t="shared" si="14"/>
        <v>0.51219512195121952</v>
      </c>
      <c r="N81" s="89"/>
      <c r="O81" s="85">
        <v>54</v>
      </c>
      <c r="P81" s="86">
        <v>31</v>
      </c>
      <c r="Q81" s="86">
        <v>57</v>
      </c>
      <c r="R81" s="387"/>
      <c r="S81" s="88">
        <v>54</v>
      </c>
      <c r="T81" s="88">
        <v>33</v>
      </c>
      <c r="U81" s="94">
        <v>0.61</v>
      </c>
      <c r="V81" s="88"/>
      <c r="W81" s="251">
        <v>71</v>
      </c>
      <c r="X81" s="89">
        <v>53</v>
      </c>
      <c r="Y81" s="143">
        <f>53/71</f>
        <v>0.74647887323943662</v>
      </c>
      <c r="Z81" s="152"/>
      <c r="AA81" s="309">
        <v>47</v>
      </c>
      <c r="AB81" s="310">
        <v>32</v>
      </c>
      <c r="AC81" s="307">
        <f t="shared" si="15"/>
        <v>0.68085106382978722</v>
      </c>
      <c r="AD81" s="311"/>
    </row>
    <row r="82" spans="1:30" x14ac:dyDescent="0.2">
      <c r="A82" s="82" t="s">
        <v>147</v>
      </c>
      <c r="B82" s="81" t="s">
        <v>83</v>
      </c>
      <c r="C82" s="85">
        <v>86</v>
      </c>
      <c r="D82" s="86">
        <v>52</v>
      </c>
      <c r="E82" s="171">
        <f t="shared" si="12"/>
        <v>0.60465116279069764</v>
      </c>
      <c r="F82" s="387"/>
      <c r="G82" s="251">
        <v>87</v>
      </c>
      <c r="H82" s="89">
        <v>65</v>
      </c>
      <c r="I82" s="237">
        <f t="shared" si="18"/>
        <v>0.74712643678160917</v>
      </c>
      <c r="J82" s="259"/>
      <c r="K82" s="89">
        <v>82</v>
      </c>
      <c r="L82" s="89">
        <v>58</v>
      </c>
      <c r="M82" s="237">
        <f t="shared" si="14"/>
        <v>0.70731707317073167</v>
      </c>
      <c r="N82" s="89"/>
      <c r="O82" s="85">
        <v>95</v>
      </c>
      <c r="P82" s="86">
        <v>64</v>
      </c>
      <c r="Q82" s="86">
        <v>67</v>
      </c>
      <c r="R82" s="387"/>
      <c r="S82" s="88">
        <v>111</v>
      </c>
      <c r="T82" s="88">
        <v>72</v>
      </c>
      <c r="U82" s="88">
        <v>100</v>
      </c>
      <c r="V82" s="88"/>
      <c r="W82" s="251">
        <v>81</v>
      </c>
      <c r="X82" s="89">
        <v>74</v>
      </c>
      <c r="Y82" s="143">
        <f>74/81</f>
        <v>0.9135802469135802</v>
      </c>
      <c r="Z82" s="152"/>
      <c r="AA82" s="309">
        <v>92</v>
      </c>
      <c r="AB82" s="310">
        <v>63</v>
      </c>
      <c r="AC82" s="307">
        <f t="shared" si="15"/>
        <v>0.68478260869565222</v>
      </c>
      <c r="AD82" s="311"/>
    </row>
    <row r="83" spans="1:30" ht="13.5" thickBot="1" x14ac:dyDescent="0.25">
      <c r="A83" s="82" t="s">
        <v>148</v>
      </c>
      <c r="B83" s="81" t="s">
        <v>149</v>
      </c>
      <c r="C83" s="388">
        <v>71</v>
      </c>
      <c r="D83" s="103">
        <v>39</v>
      </c>
      <c r="E83" s="301">
        <f t="shared" si="12"/>
        <v>0.54929577464788737</v>
      </c>
      <c r="F83" s="389"/>
      <c r="G83" s="241">
        <v>60</v>
      </c>
      <c r="H83" s="242">
        <v>41</v>
      </c>
      <c r="I83" s="243">
        <f t="shared" si="18"/>
        <v>0.68333333333333335</v>
      </c>
      <c r="J83" s="244"/>
      <c r="K83" s="242">
        <v>50</v>
      </c>
      <c r="L83" s="242">
        <v>29</v>
      </c>
      <c r="M83" s="243">
        <f t="shared" si="14"/>
        <v>0.57999999999999996</v>
      </c>
      <c r="N83" s="242"/>
      <c r="O83" s="388">
        <v>87</v>
      </c>
      <c r="P83" s="103">
        <v>47</v>
      </c>
      <c r="Q83" s="103">
        <v>54</v>
      </c>
      <c r="R83" s="389"/>
      <c r="S83" s="195">
        <v>108</v>
      </c>
      <c r="T83" s="195">
        <v>74</v>
      </c>
      <c r="U83" s="195">
        <v>68.5</v>
      </c>
      <c r="V83" s="195"/>
      <c r="W83" s="241">
        <v>83</v>
      </c>
      <c r="X83" s="242">
        <v>62</v>
      </c>
      <c r="Y83" s="154">
        <f>62/83</f>
        <v>0.74698795180722888</v>
      </c>
      <c r="Z83" s="155"/>
      <c r="AA83" s="312">
        <v>60</v>
      </c>
      <c r="AB83" s="313">
        <v>34</v>
      </c>
      <c r="AC83" s="314">
        <f t="shared" si="15"/>
        <v>0.56666666666666665</v>
      </c>
      <c r="AD83" s="315"/>
    </row>
    <row r="84" spans="1:30" ht="13.5" thickBot="1" x14ac:dyDescent="0.25">
      <c r="A84" s="401"/>
      <c r="B84" s="106" t="s">
        <v>46</v>
      </c>
      <c r="C84" s="107">
        <f>SUM(C49:C83)</f>
        <v>1679</v>
      </c>
      <c r="D84" s="107">
        <f>SUM(D49:D83)</f>
        <v>1166</v>
      </c>
      <c r="E84" s="416">
        <f t="shared" si="12"/>
        <v>0.69446098868374029</v>
      </c>
      <c r="F84" s="175"/>
      <c r="G84" s="108">
        <f>SUM(G53:G83)</f>
        <v>1476</v>
      </c>
      <c r="H84" s="108">
        <f>SUM(H53:H83)</f>
        <v>1037</v>
      </c>
      <c r="I84" s="256">
        <f>(SUM(I49:I83)/34)</f>
        <v>0.72841946962819837</v>
      </c>
      <c r="J84" s="108"/>
      <c r="K84" s="108">
        <f>SUM(K53:K83)</f>
        <v>1064</v>
      </c>
      <c r="L84" s="108">
        <f>SUM(L53:L83)</f>
        <v>738</v>
      </c>
      <c r="M84" s="256">
        <f>(SUM(M53:M83)/25)</f>
        <v>0.56458166975348656</v>
      </c>
      <c r="N84" s="108"/>
      <c r="O84" s="107">
        <f>SUM(O53:O83)</f>
        <v>1164</v>
      </c>
      <c r="P84" s="107">
        <f>SUM(P53:P83)</f>
        <v>748</v>
      </c>
      <c r="Q84" s="174">
        <v>0.63</v>
      </c>
      <c r="R84" s="107"/>
      <c r="S84" s="186">
        <f>SUM(S53:S83)</f>
        <v>1349</v>
      </c>
      <c r="T84" s="186">
        <v>1329</v>
      </c>
      <c r="U84" s="199">
        <f>1329/1922</f>
        <v>0.69146722164412067</v>
      </c>
      <c r="V84" s="199"/>
      <c r="W84" s="108">
        <v>1646</v>
      </c>
      <c r="X84" s="108">
        <v>1256</v>
      </c>
      <c r="Y84" s="126">
        <f>1256/1646</f>
        <v>0.76306196840826246</v>
      </c>
      <c r="Z84" s="126"/>
      <c r="AA84" s="319">
        <f>SUM(AA53:AA83)</f>
        <v>960</v>
      </c>
      <c r="AB84" s="320">
        <f>SUM(AB53:AB83)</f>
        <v>646</v>
      </c>
      <c r="AC84" s="123">
        <f>(SUM(AC53:AC83)/24)</f>
        <v>0.48555182792739887</v>
      </c>
      <c r="AD84" s="321"/>
    </row>
    <row r="85" spans="1:30" ht="13.5" thickBot="1" x14ac:dyDescent="0.25">
      <c r="A85" s="81"/>
      <c r="B85" s="96"/>
      <c r="C85" s="96"/>
      <c r="D85" s="96"/>
      <c r="E85" s="96"/>
      <c r="F85" s="96"/>
      <c r="G85" s="96"/>
      <c r="H85" s="96"/>
      <c r="I85" s="96"/>
      <c r="J85" s="96"/>
      <c r="K85" s="96"/>
      <c r="L85" s="96"/>
      <c r="M85" s="96"/>
      <c r="N85" s="96"/>
      <c r="O85" s="96"/>
      <c r="P85" s="96"/>
      <c r="Q85" s="96"/>
      <c r="R85" s="96"/>
      <c r="S85" s="96"/>
      <c r="T85" s="96"/>
      <c r="U85" s="111"/>
      <c r="V85" s="111"/>
      <c r="W85" s="96"/>
      <c r="X85" s="96"/>
      <c r="Y85" s="111"/>
      <c r="Z85" s="111"/>
      <c r="AA85" s="111"/>
      <c r="AB85" s="111"/>
      <c r="AC85" s="111"/>
      <c r="AD85" s="111"/>
    </row>
    <row r="86" spans="1:30" x14ac:dyDescent="0.2">
      <c r="A86" s="104" t="s">
        <v>86</v>
      </c>
      <c r="B86" s="200" t="s">
        <v>150</v>
      </c>
      <c r="C86" s="104">
        <f>C51+C56+C58+C62+C66+C67+C68+C69+C70+C71+C72+C73+C77+C78+C79+C80</f>
        <v>726</v>
      </c>
      <c r="D86" s="200">
        <f>D51+D56+D58+D62+D66+D67+D68+D69+D70+D71+D72+D73+D77+D78+D79+D80</f>
        <v>575</v>
      </c>
      <c r="E86" s="587">
        <f>D86/C86</f>
        <v>0.79201101928374651</v>
      </c>
      <c r="F86" s="447"/>
      <c r="G86" s="361">
        <f>G56+G58+G62+G66+G67+G69+G70+G71+G72+G73+G77+G78+G79+G80+G50+G51</f>
        <v>635</v>
      </c>
      <c r="H86" s="362">
        <f>H56+H58+H62+H66+H67+H69+H70+H71+H72+H73+H77+H78+H79+H80+H50+H51</f>
        <v>523</v>
      </c>
      <c r="I86" s="363">
        <f>H86/G86</f>
        <v>0.82362204724409449</v>
      </c>
      <c r="J86" s="364"/>
      <c r="K86" s="257">
        <v>616</v>
      </c>
      <c r="L86" s="257">
        <v>459</v>
      </c>
      <c r="M86" s="291">
        <f>L86/K86</f>
        <v>0.74512987012987009</v>
      </c>
      <c r="N86" s="257"/>
      <c r="O86" s="182">
        <v>742</v>
      </c>
      <c r="P86" s="182">
        <v>494</v>
      </c>
      <c r="Q86" s="183">
        <v>0.66</v>
      </c>
      <c r="R86" s="182"/>
      <c r="S86" s="113">
        <v>825</v>
      </c>
      <c r="T86" s="113">
        <v>594</v>
      </c>
      <c r="U86" s="114">
        <f>594/825</f>
        <v>0.72</v>
      </c>
      <c r="V86" s="114"/>
      <c r="W86" s="158">
        <v>806</v>
      </c>
      <c r="X86" s="158">
        <v>607</v>
      </c>
      <c r="Y86" s="159">
        <f>607/806</f>
        <v>0.75310173697270466</v>
      </c>
      <c r="Z86" s="159"/>
      <c r="AA86" s="328">
        <v>567</v>
      </c>
      <c r="AB86" s="330">
        <v>452</v>
      </c>
      <c r="AC86" s="157">
        <f>AB86/AA86</f>
        <v>0.7971781305114638</v>
      </c>
      <c r="AD86" s="193"/>
    </row>
    <row r="87" spans="1:30" ht="13.5" thickBot="1" x14ac:dyDescent="0.25">
      <c r="A87" s="105" t="s">
        <v>151</v>
      </c>
      <c r="B87" s="201" t="s">
        <v>89</v>
      </c>
      <c r="C87" s="105">
        <f>C49+C52+C53+C54+C55+C57+C59+C60+C61+C63+C64+C65+C74+C75+C76+C81+C82+C83</f>
        <v>953</v>
      </c>
      <c r="D87" s="201">
        <f>D49+D52+D53+D54+D55+D57+D59+D60+D61+D63+D64+D65+D74+D75+D76+D81+D82+D83</f>
        <v>591</v>
      </c>
      <c r="E87" s="588">
        <f>D87/C87</f>
        <v>0.62014690451206711</v>
      </c>
      <c r="F87" s="448"/>
      <c r="G87" s="365">
        <f>G53+G54+G55+G57+G59+G60+G61+G63+G64+G65+G74+G75+G76+G81+G82+G83+G49+G52</f>
        <v>894</v>
      </c>
      <c r="H87" s="186">
        <f>H53+H54+H55+H57+H59+H60+H61+H63+H64+H65+H74+H75+H76+H81+H82+H83+H49+H52</f>
        <v>566</v>
      </c>
      <c r="I87" s="366">
        <f>H87/G87</f>
        <v>0.63310961968680091</v>
      </c>
      <c r="J87" s="367"/>
      <c r="K87" s="258">
        <v>658</v>
      </c>
      <c r="L87" s="258">
        <v>422</v>
      </c>
      <c r="M87" s="292">
        <f>L87/K87</f>
        <v>0.64133738601823709</v>
      </c>
      <c r="N87" s="258"/>
      <c r="O87" s="184">
        <v>778</v>
      </c>
      <c r="P87" s="184">
        <v>473</v>
      </c>
      <c r="Q87" s="185">
        <v>0.61</v>
      </c>
      <c r="R87" s="184"/>
      <c r="S87" s="145">
        <v>1097</v>
      </c>
      <c r="T87" s="145">
        <v>735</v>
      </c>
      <c r="U87" s="199">
        <f>735/1097</f>
        <v>0.67000911577028255</v>
      </c>
      <c r="V87" s="199"/>
      <c r="W87" s="109">
        <v>840</v>
      </c>
      <c r="X87" s="109">
        <v>646</v>
      </c>
      <c r="Y87" s="110">
        <f>646/840</f>
        <v>0.76904761904761909</v>
      </c>
      <c r="Z87" s="110"/>
      <c r="AA87" s="329">
        <v>714</v>
      </c>
      <c r="AB87" s="331">
        <v>425</v>
      </c>
      <c r="AC87" s="161">
        <f>AB87/AA87</f>
        <v>0.59523809523809523</v>
      </c>
      <c r="AD87" s="198"/>
    </row>
    <row r="88" spans="1:30" x14ac:dyDescent="0.2">
      <c r="A88" s="96"/>
      <c r="B88" s="96"/>
      <c r="C88" s="96"/>
      <c r="D88" s="96"/>
      <c r="E88" s="96"/>
      <c r="F88" s="96"/>
      <c r="G88" s="96"/>
      <c r="H88" s="96"/>
      <c r="I88" s="96"/>
      <c r="J88" s="96"/>
      <c r="K88" s="96"/>
      <c r="L88" s="96"/>
      <c r="M88" s="96"/>
      <c r="N88" s="96"/>
      <c r="O88" s="96"/>
      <c r="P88" s="96"/>
      <c r="Q88" s="96"/>
      <c r="R88" s="96"/>
      <c r="S88" s="97"/>
      <c r="T88" s="97"/>
      <c r="U88" s="111"/>
      <c r="V88" s="111"/>
      <c r="W88" s="97"/>
      <c r="X88" s="97"/>
      <c r="Y88" s="111"/>
      <c r="Z88" s="111"/>
      <c r="AA88" s="111"/>
      <c r="AB88" s="111"/>
      <c r="AC88" s="111"/>
      <c r="AD88" s="111"/>
    </row>
    <row r="89" spans="1:30" x14ac:dyDescent="0.2">
      <c r="A89" s="112" t="s">
        <v>152</v>
      </c>
      <c r="B89" s="165"/>
      <c r="C89" s="449">
        <f>C43</f>
        <v>1500</v>
      </c>
      <c r="D89" s="165">
        <f>D43</f>
        <v>756</v>
      </c>
      <c r="E89" s="420">
        <f>E43</f>
        <v>0.54071100649091897</v>
      </c>
      <c r="F89" s="450"/>
      <c r="G89" s="428"/>
      <c r="H89" s="113">
        <f>H43</f>
        <v>702</v>
      </c>
      <c r="I89" s="368"/>
      <c r="J89" s="429"/>
      <c r="K89" s="263"/>
      <c r="L89" s="158">
        <f>L43</f>
        <v>578</v>
      </c>
      <c r="M89" s="263"/>
      <c r="N89" s="263"/>
      <c r="O89" s="181"/>
      <c r="P89" s="264"/>
      <c r="Q89" s="156">
        <v>922</v>
      </c>
      <c r="R89" s="265"/>
      <c r="S89" s="113"/>
      <c r="T89" s="113">
        <v>1059</v>
      </c>
      <c r="U89" s="114"/>
      <c r="V89" s="114"/>
      <c r="W89" s="505"/>
      <c r="X89" s="506">
        <v>924</v>
      </c>
      <c r="Y89" s="507"/>
      <c r="Z89" s="508"/>
      <c r="AA89" s="502"/>
      <c r="AB89" s="501">
        <f>AB43</f>
        <v>521</v>
      </c>
      <c r="AC89" s="502"/>
      <c r="AD89" s="503"/>
    </row>
    <row r="90" spans="1:30" x14ac:dyDescent="0.2">
      <c r="A90" s="115" t="s">
        <v>153</v>
      </c>
      <c r="B90" s="166"/>
      <c r="C90" s="451">
        <f>C84</f>
        <v>1679</v>
      </c>
      <c r="D90" s="166">
        <f>D84</f>
        <v>1166</v>
      </c>
      <c r="E90" s="452">
        <f>E84</f>
        <v>0.69446098868374029</v>
      </c>
      <c r="F90" s="453"/>
      <c r="G90" s="138"/>
      <c r="H90" s="168">
        <f>H84</f>
        <v>1037</v>
      </c>
      <c r="I90" s="139"/>
      <c r="J90" s="180"/>
      <c r="K90" s="142"/>
      <c r="L90" s="167">
        <f>L84</f>
        <v>738</v>
      </c>
      <c r="M90" s="142"/>
      <c r="N90" s="142"/>
      <c r="O90" s="266"/>
      <c r="P90" s="136"/>
      <c r="Q90" s="236">
        <v>967</v>
      </c>
      <c r="R90" s="137"/>
      <c r="S90" s="139"/>
      <c r="T90" s="168">
        <v>1329</v>
      </c>
      <c r="U90" s="139"/>
      <c r="V90" s="464"/>
      <c r="W90" s="509"/>
      <c r="X90" s="510">
        <v>1256</v>
      </c>
      <c r="Y90" s="511"/>
      <c r="Z90" s="512"/>
      <c r="AA90" s="462"/>
      <c r="AB90" s="486">
        <f>AB84</f>
        <v>646</v>
      </c>
      <c r="AC90" s="462"/>
      <c r="AD90" s="504"/>
    </row>
    <row r="91" spans="1:30" x14ac:dyDescent="0.2">
      <c r="A91" s="116" t="s">
        <v>154</v>
      </c>
      <c r="B91" s="166"/>
      <c r="C91" s="454">
        <f>SUM(C89:C90)</f>
        <v>3179</v>
      </c>
      <c r="D91" s="455">
        <f>SUM(D89:D90)</f>
        <v>1922</v>
      </c>
      <c r="E91" s="589">
        <f>D91/C91</f>
        <v>0.60459263919471529</v>
      </c>
      <c r="F91" s="456"/>
      <c r="G91" s="430"/>
      <c r="H91" s="145">
        <f>H89+H90</f>
        <v>1739</v>
      </c>
      <c r="I91" s="431"/>
      <c r="J91" s="432"/>
      <c r="K91" s="142"/>
      <c r="L91" s="167">
        <f>SUM(L89:L90)</f>
        <v>1316</v>
      </c>
      <c r="M91" s="142"/>
      <c r="N91" s="142"/>
      <c r="O91" s="197"/>
      <c r="P91" s="267"/>
      <c r="Q91" s="160">
        <v>1889</v>
      </c>
      <c r="R91" s="268"/>
      <c r="S91" s="139"/>
      <c r="T91" s="168">
        <v>2388</v>
      </c>
      <c r="U91" s="139"/>
      <c r="V91" s="464"/>
      <c r="W91" s="509"/>
      <c r="X91" s="510">
        <f>SUM(X89:X90)</f>
        <v>2180</v>
      </c>
      <c r="Y91" s="511"/>
      <c r="Z91" s="512"/>
      <c r="AA91" s="462"/>
      <c r="AB91" s="486">
        <f>AB89+AB90</f>
        <v>1167</v>
      </c>
      <c r="AC91" s="462"/>
      <c r="AD91" s="504"/>
    </row>
    <row r="92" spans="1:30" x14ac:dyDescent="0.2">
      <c r="A92" s="102" t="s">
        <v>155</v>
      </c>
      <c r="B92" s="147"/>
      <c r="C92" s="147">
        <f>C20+C91</f>
        <v>5824</v>
      </c>
      <c r="D92" s="147">
        <f>D91+D20</f>
        <v>4362</v>
      </c>
      <c r="E92" s="590">
        <f>D92/C92</f>
        <v>0.74896978021978022</v>
      </c>
      <c r="F92" s="147"/>
      <c r="G92" s="170" t="s">
        <v>156</v>
      </c>
      <c r="H92" s="170">
        <f>H20+H91</f>
        <v>4225</v>
      </c>
      <c r="I92" s="170"/>
      <c r="J92" s="170"/>
      <c r="K92" s="125" t="s">
        <v>157</v>
      </c>
      <c r="L92" s="125">
        <f>L91+L20</f>
        <v>3486</v>
      </c>
      <c r="M92" s="125"/>
      <c r="N92" s="125"/>
      <c r="O92" s="266"/>
      <c r="P92" s="266" t="s">
        <v>157</v>
      </c>
      <c r="Q92" s="266">
        <v>4257</v>
      </c>
      <c r="R92" s="266"/>
      <c r="S92" s="113" t="s">
        <v>157</v>
      </c>
      <c r="T92" s="113">
        <v>4836</v>
      </c>
      <c r="U92" s="113"/>
      <c r="V92" s="113"/>
      <c r="W92" s="513" t="s">
        <v>157</v>
      </c>
      <c r="X92" s="514">
        <v>5026</v>
      </c>
      <c r="Y92" s="514"/>
      <c r="Z92" s="514"/>
      <c r="AA92" s="490"/>
      <c r="AB92" s="515">
        <f>AB20+AB91</f>
        <v>3607</v>
      </c>
      <c r="AC92" s="515"/>
      <c r="AD92" s="516"/>
    </row>
    <row r="93" spans="1:30" ht="13.5" thickBot="1" x14ac:dyDescent="0.25">
      <c r="A93" s="106"/>
      <c r="B93" s="228"/>
      <c r="C93" s="164"/>
      <c r="D93" s="164"/>
      <c r="E93" s="164"/>
      <c r="F93" s="164"/>
      <c r="G93" s="164"/>
      <c r="H93" s="164"/>
      <c r="I93" s="164"/>
      <c r="J93" s="164"/>
      <c r="K93" s="164"/>
      <c r="L93" s="164"/>
      <c r="M93" s="164"/>
      <c r="N93" s="164"/>
      <c r="O93" s="229"/>
      <c r="P93" s="228"/>
      <c r="Q93" s="228"/>
      <c r="R93" s="230"/>
      <c r="S93" s="229"/>
      <c r="T93" s="228"/>
      <c r="U93" s="231"/>
      <c r="V93" s="232"/>
      <c r="W93" s="233"/>
      <c r="X93" s="97"/>
      <c r="Z93" s="97"/>
      <c r="AA93" s="97"/>
      <c r="AB93" s="97"/>
      <c r="AC93" s="97"/>
      <c r="AD93" s="97"/>
    </row>
    <row r="94" spans="1:30" ht="13.5" thickBot="1" x14ac:dyDescent="0.25">
      <c r="A94" s="102" t="s">
        <v>158</v>
      </c>
      <c r="B94" s="117" t="s">
        <v>46</v>
      </c>
      <c r="C94" s="182" t="s">
        <v>10</v>
      </c>
      <c r="D94" s="182" t="s">
        <v>11</v>
      </c>
      <c r="E94" s="182" t="s">
        <v>12</v>
      </c>
      <c r="F94" s="182"/>
      <c r="G94" s="369" t="s">
        <v>10</v>
      </c>
      <c r="H94" s="378" t="s">
        <v>11</v>
      </c>
      <c r="I94" s="378" t="s">
        <v>12</v>
      </c>
      <c r="J94" s="260"/>
      <c r="K94" s="369" t="s">
        <v>10</v>
      </c>
      <c r="L94" s="378" t="s">
        <v>11</v>
      </c>
      <c r="M94" s="378" t="s">
        <v>12</v>
      </c>
      <c r="N94" s="260"/>
      <c r="O94" s="122" t="s">
        <v>10</v>
      </c>
      <c r="P94" s="222" t="s">
        <v>11</v>
      </c>
      <c r="Q94" s="222" t="s">
        <v>12</v>
      </c>
      <c r="R94" s="175"/>
      <c r="S94" s="129" t="s">
        <v>10</v>
      </c>
      <c r="T94" s="130" t="s">
        <v>11</v>
      </c>
      <c r="U94" s="130" t="s">
        <v>12</v>
      </c>
      <c r="V94" s="173"/>
      <c r="W94" s="234" t="s">
        <v>10</v>
      </c>
      <c r="X94" s="235" t="s">
        <v>11</v>
      </c>
      <c r="Y94" s="235" t="s">
        <v>12</v>
      </c>
      <c r="Z94" s="488"/>
      <c r="AA94" s="491" t="s">
        <v>14</v>
      </c>
      <c r="AB94" s="492" t="s">
        <v>11</v>
      </c>
      <c r="AC94" s="493" t="s">
        <v>12</v>
      </c>
      <c r="AD94" s="494"/>
    </row>
    <row r="95" spans="1:30" x14ac:dyDescent="0.2">
      <c r="A95" s="408" t="s">
        <v>159</v>
      </c>
      <c r="B95" s="433" t="s">
        <v>160</v>
      </c>
      <c r="C95" s="417">
        <v>52</v>
      </c>
      <c r="D95" s="421">
        <v>49</v>
      </c>
      <c r="E95" s="422">
        <f>D95/C95</f>
        <v>0.94230769230769229</v>
      </c>
      <c r="F95" s="182"/>
      <c r="G95" s="505"/>
      <c r="H95" s="578"/>
      <c r="I95" s="578"/>
      <c r="J95" s="586"/>
      <c r="K95" s="505"/>
      <c r="L95" s="578"/>
      <c r="M95" s="578"/>
      <c r="N95" s="579"/>
      <c r="O95" s="236"/>
      <c r="P95" s="382"/>
      <c r="Q95" s="382"/>
      <c r="R95" s="398"/>
      <c r="S95" s="399"/>
      <c r="T95" s="380"/>
      <c r="U95" s="380"/>
      <c r="V95" s="400"/>
      <c r="W95" s="167"/>
      <c r="X95" s="373"/>
      <c r="Y95" s="373"/>
      <c r="Z95" s="489"/>
      <c r="AA95" s="491"/>
      <c r="AB95" s="492"/>
      <c r="AC95" s="493"/>
      <c r="AD95" s="494"/>
    </row>
    <row r="96" spans="1:30" x14ac:dyDescent="0.2">
      <c r="A96" s="100" t="s">
        <v>161</v>
      </c>
      <c r="B96" s="82" t="s">
        <v>162</v>
      </c>
      <c r="C96" s="85">
        <v>348</v>
      </c>
      <c r="D96" s="86">
        <v>236</v>
      </c>
      <c r="E96" s="101">
        <f t="shared" ref="E96:E97" si="19">D96/C96</f>
        <v>0.67816091954022983</v>
      </c>
      <c r="F96" s="577"/>
      <c r="G96" s="580">
        <v>254</v>
      </c>
      <c r="H96" s="575">
        <v>189</v>
      </c>
      <c r="I96" s="576">
        <f>H96/G96</f>
        <v>0.74409448818897639</v>
      </c>
      <c r="J96" s="575"/>
      <c r="K96" s="580">
        <v>219</v>
      </c>
      <c r="L96" s="575">
        <v>159</v>
      </c>
      <c r="M96" s="576">
        <f>L96/K96</f>
        <v>0.72602739726027399</v>
      </c>
      <c r="N96" s="581"/>
      <c r="O96" s="86">
        <v>187</v>
      </c>
      <c r="P96" s="86">
        <v>117</v>
      </c>
      <c r="Q96" s="86">
        <v>62</v>
      </c>
      <c r="R96" s="86"/>
      <c r="S96" s="87" t="s">
        <v>163</v>
      </c>
      <c r="T96" s="88"/>
      <c r="U96" s="88"/>
      <c r="V96" s="188"/>
      <c r="W96" s="142"/>
      <c r="X96" s="142"/>
      <c r="Y96" s="143"/>
      <c r="Z96" s="143"/>
      <c r="AA96" s="495"/>
      <c r="AB96" s="310"/>
      <c r="AC96" s="487"/>
      <c r="AD96" s="496"/>
    </row>
    <row r="97" spans="1:32" ht="13.5" thickBot="1" x14ac:dyDescent="0.25">
      <c r="A97" s="409" t="s">
        <v>164</v>
      </c>
      <c r="B97" s="434" t="s">
        <v>165</v>
      </c>
      <c r="C97" s="388">
        <v>173</v>
      </c>
      <c r="D97" s="103">
        <v>138</v>
      </c>
      <c r="E97" s="424">
        <f t="shared" si="19"/>
        <v>0.79768786127167635</v>
      </c>
      <c r="F97" s="103"/>
      <c r="G97" s="582">
        <v>178</v>
      </c>
      <c r="H97" s="583">
        <v>132</v>
      </c>
      <c r="I97" s="584">
        <f>H97/G97</f>
        <v>0.7415730337078652</v>
      </c>
      <c r="J97" s="583"/>
      <c r="K97" s="582">
        <v>136</v>
      </c>
      <c r="L97" s="583">
        <v>100</v>
      </c>
      <c r="M97" s="584">
        <f>L97/K97</f>
        <v>0.73529411764705888</v>
      </c>
      <c r="N97" s="585"/>
      <c r="O97" s="103">
        <v>206</v>
      </c>
      <c r="P97" s="103">
        <v>128</v>
      </c>
      <c r="Q97" s="103">
        <v>62</v>
      </c>
      <c r="R97" s="103"/>
      <c r="S97" s="194">
        <v>257</v>
      </c>
      <c r="T97" s="195">
        <v>176</v>
      </c>
      <c r="U97" s="195">
        <v>68</v>
      </c>
      <c r="V97" s="196"/>
      <c r="W97" s="153">
        <v>232</v>
      </c>
      <c r="X97" s="153">
        <v>178</v>
      </c>
      <c r="Y97" s="154">
        <f>178/232</f>
        <v>0.76724137931034486</v>
      </c>
      <c r="Z97" s="154"/>
      <c r="AA97" s="497">
        <v>148</v>
      </c>
      <c r="AB97" s="498">
        <v>94</v>
      </c>
      <c r="AC97" s="499">
        <f>AB97/AA97</f>
        <v>0.63513513513513509</v>
      </c>
      <c r="AD97" s="500"/>
    </row>
    <row r="98" spans="1:32" ht="13.5" thickBot="1" x14ac:dyDescent="0.25">
      <c r="A98" s="81"/>
      <c r="B98" s="81"/>
      <c r="C98" s="81"/>
      <c r="D98" s="81"/>
      <c r="E98" s="81"/>
      <c r="F98" s="81"/>
      <c r="G98" s="81"/>
      <c r="H98" s="81"/>
      <c r="I98" s="81"/>
      <c r="J98" s="81"/>
      <c r="K98" s="81"/>
      <c r="L98" s="81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1"/>
      <c r="X98" s="163"/>
    </row>
    <row r="99" spans="1:32" x14ac:dyDescent="0.2">
      <c r="A99" s="466" t="s">
        <v>166</v>
      </c>
      <c r="B99" s="570" t="s">
        <v>167</v>
      </c>
      <c r="C99" s="182" t="s">
        <v>157</v>
      </c>
      <c r="D99" s="421">
        <v>146</v>
      </c>
      <c r="E99" s="182"/>
      <c r="F99" s="425"/>
      <c r="G99" s="361" t="s">
        <v>156</v>
      </c>
      <c r="H99" s="568">
        <v>119</v>
      </c>
      <c r="I99" s="362"/>
      <c r="J99" s="364"/>
      <c r="K99" s="441" t="s">
        <v>156</v>
      </c>
      <c r="L99" s="240">
        <v>184</v>
      </c>
      <c r="M99" s="257"/>
      <c r="N99" s="260"/>
      <c r="O99" s="182" t="s">
        <v>157</v>
      </c>
      <c r="P99" s="421">
        <v>188</v>
      </c>
      <c r="Q99" s="421"/>
      <c r="R99" s="425"/>
      <c r="S99" s="362" t="s">
        <v>157</v>
      </c>
      <c r="T99" s="568">
        <v>203</v>
      </c>
      <c r="U99" s="568"/>
      <c r="V99" s="364"/>
      <c r="W99" s="362" t="s">
        <v>157</v>
      </c>
      <c r="X99" s="368">
        <v>184</v>
      </c>
      <c r="Y99" s="368">
        <v>184</v>
      </c>
      <c r="Z99" s="444"/>
      <c r="AA99" s="446" t="s">
        <v>157</v>
      </c>
      <c r="AB99" s="368">
        <v>177</v>
      </c>
      <c r="AC99" s="113"/>
      <c r="AD99" s="444"/>
      <c r="AE99" s="169"/>
      <c r="AF99" s="169"/>
    </row>
    <row r="100" spans="1:32" x14ac:dyDescent="0.2">
      <c r="A100" s="571" t="s">
        <v>168</v>
      </c>
      <c r="B100" s="572" t="s">
        <v>169</v>
      </c>
      <c r="C100" s="569"/>
      <c r="D100" s="86">
        <v>19</v>
      </c>
      <c r="E100" s="398"/>
      <c r="F100" s="438"/>
      <c r="G100" s="439"/>
      <c r="H100" s="88">
        <v>21</v>
      </c>
      <c r="I100" s="435"/>
      <c r="J100" s="440"/>
      <c r="K100" s="442"/>
      <c r="L100" s="89">
        <v>20</v>
      </c>
      <c r="M100" s="436"/>
      <c r="N100" s="443"/>
      <c r="O100" s="437"/>
      <c r="P100" s="86">
        <v>19</v>
      </c>
      <c r="Q100" s="86"/>
      <c r="R100" s="438"/>
      <c r="S100" s="435" t="s">
        <v>157</v>
      </c>
      <c r="T100" s="88">
        <v>25</v>
      </c>
      <c r="U100" s="88"/>
      <c r="V100" s="440"/>
      <c r="W100" s="435" t="s">
        <v>157</v>
      </c>
      <c r="X100" s="139">
        <v>25</v>
      </c>
      <c r="Y100" s="139">
        <v>25</v>
      </c>
      <c r="Z100" s="445"/>
      <c r="AA100" s="399" t="s">
        <v>156</v>
      </c>
      <c r="AB100" s="168"/>
      <c r="AC100" s="168"/>
      <c r="AD100" s="445"/>
      <c r="AE100" s="169"/>
      <c r="AF100" s="169"/>
    </row>
    <row r="101" spans="1:32" x14ac:dyDescent="0.2">
      <c r="A101" s="571" t="s">
        <v>170</v>
      </c>
      <c r="B101" s="572" t="s">
        <v>171</v>
      </c>
      <c r="C101" s="569"/>
      <c r="D101" s="86">
        <v>7</v>
      </c>
      <c r="E101" s="398"/>
      <c r="F101" s="438"/>
      <c r="G101" s="439"/>
      <c r="H101" s="88">
        <v>1</v>
      </c>
      <c r="I101" s="435"/>
      <c r="J101" s="440"/>
      <c r="K101" s="442"/>
      <c r="L101" s="436"/>
      <c r="M101" s="436"/>
      <c r="N101" s="443"/>
      <c r="O101" s="437"/>
      <c r="P101" s="398"/>
      <c r="Q101" s="398"/>
      <c r="R101" s="438"/>
      <c r="S101" s="439"/>
      <c r="T101" s="435"/>
      <c r="U101" s="435"/>
      <c r="V101" s="440"/>
      <c r="W101" s="439"/>
      <c r="X101" s="435"/>
      <c r="Y101" s="168"/>
      <c r="Z101" s="445"/>
      <c r="AA101" s="399"/>
      <c r="AB101" s="168"/>
      <c r="AC101" s="168"/>
      <c r="AD101" s="445"/>
      <c r="AE101" s="169"/>
      <c r="AF101" s="169"/>
    </row>
    <row r="102" spans="1:32" x14ac:dyDescent="0.2">
      <c r="A102" s="571" t="s">
        <v>172</v>
      </c>
      <c r="B102" s="572" t="s">
        <v>171</v>
      </c>
      <c r="C102" s="569"/>
      <c r="D102" s="86">
        <v>13</v>
      </c>
      <c r="E102" s="398"/>
      <c r="F102" s="438"/>
      <c r="G102" s="439"/>
      <c r="H102" s="88">
        <v>4</v>
      </c>
      <c r="I102" s="435"/>
      <c r="J102" s="440"/>
      <c r="K102" s="442"/>
      <c r="L102" s="436"/>
      <c r="M102" s="436"/>
      <c r="N102" s="443"/>
      <c r="O102" s="437"/>
      <c r="P102" s="398"/>
      <c r="Q102" s="398"/>
      <c r="R102" s="438"/>
      <c r="S102" s="439"/>
      <c r="T102" s="435"/>
      <c r="U102" s="435"/>
      <c r="V102" s="440"/>
      <c r="W102" s="439"/>
      <c r="X102" s="435"/>
      <c r="Y102" s="168"/>
      <c r="Z102" s="445"/>
      <c r="AA102" s="399"/>
      <c r="AB102" s="168"/>
      <c r="AC102" s="168"/>
      <c r="AD102" s="445"/>
      <c r="AE102" s="169"/>
      <c r="AF102" s="169"/>
    </row>
    <row r="103" spans="1:32" ht="13.5" thickBot="1" x14ac:dyDescent="0.25">
      <c r="A103" s="573" t="s">
        <v>173</v>
      </c>
      <c r="B103" s="574" t="s">
        <v>171</v>
      </c>
      <c r="C103" s="184"/>
      <c r="D103" s="103">
        <v>3</v>
      </c>
      <c r="E103" s="184"/>
      <c r="F103" s="427"/>
      <c r="G103" s="365"/>
      <c r="H103" s="195">
        <v>4</v>
      </c>
      <c r="I103" s="186"/>
      <c r="J103" s="367"/>
      <c r="K103" s="485"/>
      <c r="L103" s="258"/>
      <c r="M103" s="258"/>
      <c r="N103" s="261"/>
      <c r="O103" s="426"/>
      <c r="P103" s="184"/>
      <c r="Q103" s="184"/>
      <c r="R103" s="427"/>
      <c r="S103" s="365"/>
      <c r="T103" s="186"/>
      <c r="U103" s="186"/>
      <c r="V103" s="367"/>
      <c r="W103" s="365"/>
      <c r="X103" s="186"/>
      <c r="Y103" s="145"/>
      <c r="Z103" s="354"/>
      <c r="AA103" s="353"/>
      <c r="AB103" s="145"/>
      <c r="AC103" s="145"/>
      <c r="AD103" s="354"/>
      <c r="AE103" s="169"/>
      <c r="AF103" s="169"/>
    </row>
    <row r="104" spans="1:32" ht="13.5" thickBot="1" x14ac:dyDescent="0.25">
      <c r="A104" s="81"/>
      <c r="B104" s="81"/>
      <c r="C104" s="81"/>
      <c r="D104" s="81"/>
      <c r="E104" s="81"/>
      <c r="F104" s="81"/>
      <c r="G104" s="81"/>
      <c r="H104" s="81"/>
      <c r="I104" s="81"/>
      <c r="J104" s="81"/>
      <c r="K104" s="81"/>
      <c r="L104" s="81"/>
      <c r="M104" s="81"/>
      <c r="N104" s="81"/>
      <c r="O104" s="81"/>
      <c r="P104" s="81"/>
      <c r="Q104" s="81"/>
      <c r="R104" s="81"/>
      <c r="S104" s="81"/>
      <c r="T104" s="81"/>
      <c r="U104" s="81"/>
      <c r="V104" s="81"/>
      <c r="AE104" s="169"/>
      <c r="AF104" s="169"/>
    </row>
    <row r="105" spans="1:32" x14ac:dyDescent="0.2">
      <c r="A105" s="466" t="s">
        <v>174</v>
      </c>
      <c r="B105" s="467"/>
      <c r="C105" s="477" t="s">
        <v>175</v>
      </c>
      <c r="D105" s="478">
        <v>162</v>
      </c>
      <c r="E105" s="478"/>
      <c r="F105" s="478"/>
      <c r="G105" s="468">
        <v>2024</v>
      </c>
      <c r="H105" s="469">
        <v>326</v>
      </c>
      <c r="I105" s="469"/>
      <c r="J105" s="469"/>
      <c r="K105" s="468">
        <v>2023</v>
      </c>
      <c r="L105" s="469">
        <v>382</v>
      </c>
      <c r="M105" s="469"/>
      <c r="N105" s="469"/>
      <c r="O105" s="469"/>
      <c r="P105" s="468">
        <v>2022</v>
      </c>
      <c r="Q105" s="566">
        <v>370</v>
      </c>
      <c r="R105" s="469"/>
      <c r="S105" s="470"/>
      <c r="T105" s="470">
        <v>2021</v>
      </c>
      <c r="U105" s="567">
        <v>419</v>
      </c>
      <c r="V105" s="470"/>
      <c r="W105" s="468"/>
      <c r="X105" s="468">
        <v>2020</v>
      </c>
      <c r="Y105" s="469">
        <v>422</v>
      </c>
      <c r="Z105" s="468"/>
      <c r="AA105" s="468">
        <v>2019</v>
      </c>
      <c r="AB105" s="469">
        <v>395</v>
      </c>
      <c r="AC105" s="468"/>
      <c r="AD105" s="471"/>
      <c r="AE105" s="169"/>
      <c r="AF105" s="169"/>
    </row>
    <row r="106" spans="1:32" x14ac:dyDescent="0.2">
      <c r="A106" s="472"/>
      <c r="B106" s="475" t="s">
        <v>176</v>
      </c>
      <c r="C106" s="479"/>
      <c r="D106" s="561">
        <v>19</v>
      </c>
      <c r="E106" s="479"/>
      <c r="F106" s="479"/>
      <c r="G106" s="463"/>
      <c r="H106" s="464">
        <v>26</v>
      </c>
      <c r="I106" s="463"/>
      <c r="J106" s="463"/>
      <c r="K106" s="463"/>
      <c r="L106" s="464">
        <v>23</v>
      </c>
      <c r="M106" s="463"/>
      <c r="N106" s="463"/>
      <c r="O106" s="463"/>
      <c r="P106" s="463"/>
      <c r="Q106" s="464">
        <v>29</v>
      </c>
      <c r="R106" s="463"/>
      <c r="S106" s="463"/>
      <c r="T106" s="463"/>
      <c r="U106" s="464">
        <v>11</v>
      </c>
      <c r="V106" s="463"/>
      <c r="W106" s="463"/>
      <c r="X106" s="463"/>
      <c r="Y106" s="464">
        <v>30</v>
      </c>
      <c r="Z106" s="463"/>
      <c r="AA106" s="463"/>
      <c r="AB106" s="464">
        <v>29</v>
      </c>
      <c r="AC106" s="463"/>
      <c r="AD106" s="483"/>
      <c r="AE106" s="169"/>
      <c r="AF106" s="169"/>
    </row>
    <row r="107" spans="1:32" x14ac:dyDescent="0.2">
      <c r="A107" s="473"/>
      <c r="B107" s="461" t="s">
        <v>177</v>
      </c>
      <c r="C107" s="480"/>
      <c r="D107" s="562">
        <v>6</v>
      </c>
      <c r="E107" s="480"/>
      <c r="F107" s="480"/>
      <c r="G107" s="465"/>
      <c r="H107" s="564">
        <v>22</v>
      </c>
      <c r="I107" s="465"/>
      <c r="J107" s="465"/>
      <c r="K107" s="465"/>
      <c r="L107" s="564">
        <v>17</v>
      </c>
      <c r="M107" s="465"/>
      <c r="N107" s="465"/>
      <c r="O107" s="465"/>
      <c r="P107" s="465"/>
      <c r="Q107" s="564">
        <v>16</v>
      </c>
      <c r="R107" s="465"/>
      <c r="S107" s="465"/>
      <c r="T107" s="465"/>
      <c r="U107" s="564">
        <v>32</v>
      </c>
      <c r="V107" s="465"/>
      <c r="W107" s="463"/>
      <c r="X107" s="463"/>
      <c r="Y107" s="464">
        <v>25</v>
      </c>
      <c r="Z107" s="463"/>
      <c r="AA107" s="463"/>
      <c r="AB107" s="464">
        <v>19</v>
      </c>
      <c r="AC107" s="463"/>
      <c r="AD107" s="483"/>
    </row>
    <row r="108" spans="1:32" x14ac:dyDescent="0.2">
      <c r="A108" s="472"/>
      <c r="B108" s="475" t="s">
        <v>178</v>
      </c>
      <c r="C108" s="479"/>
      <c r="D108" s="561">
        <v>5</v>
      </c>
      <c r="E108" s="479"/>
      <c r="F108" s="479"/>
      <c r="G108" s="463"/>
      <c r="H108" s="464">
        <v>16</v>
      </c>
      <c r="I108" s="463"/>
      <c r="J108" s="463"/>
      <c r="K108" s="463"/>
      <c r="L108" s="464">
        <v>13</v>
      </c>
      <c r="M108" s="463"/>
      <c r="N108" s="463"/>
      <c r="O108" s="463"/>
      <c r="P108" s="463"/>
      <c r="Q108" s="464">
        <v>9</v>
      </c>
      <c r="R108" s="463"/>
      <c r="S108" s="463"/>
      <c r="T108" s="463"/>
      <c r="U108" s="464">
        <v>19</v>
      </c>
      <c r="V108" s="463"/>
      <c r="W108" s="463"/>
      <c r="X108" s="463"/>
      <c r="Y108" s="464">
        <v>12</v>
      </c>
      <c r="Z108" s="463"/>
      <c r="AA108" s="463"/>
      <c r="AB108" s="464">
        <v>19</v>
      </c>
      <c r="AC108" s="463"/>
      <c r="AD108" s="483"/>
    </row>
    <row r="109" spans="1:32" x14ac:dyDescent="0.2">
      <c r="A109" s="474"/>
      <c r="B109" s="476" t="s">
        <v>179</v>
      </c>
      <c r="C109" s="481"/>
      <c r="D109" s="563">
        <v>2</v>
      </c>
      <c r="E109" s="481"/>
      <c r="F109" s="481"/>
      <c r="G109" s="482"/>
      <c r="H109" s="565">
        <v>16</v>
      </c>
      <c r="I109" s="482"/>
      <c r="J109" s="482"/>
      <c r="K109" s="482"/>
      <c r="L109" s="565">
        <v>29</v>
      </c>
      <c r="M109" s="482"/>
      <c r="N109" s="482"/>
      <c r="O109" s="482"/>
      <c r="P109" s="482"/>
      <c r="Q109" s="565">
        <v>30</v>
      </c>
      <c r="R109" s="482"/>
      <c r="S109" s="482"/>
      <c r="T109" s="482"/>
      <c r="U109" s="565">
        <v>11</v>
      </c>
      <c r="V109" s="482"/>
      <c r="W109" s="482"/>
      <c r="X109" s="482"/>
      <c r="Y109" s="565">
        <v>28</v>
      </c>
      <c r="Z109" s="482"/>
      <c r="AA109" s="482"/>
      <c r="AB109" s="565">
        <v>18</v>
      </c>
      <c r="AC109" s="482"/>
      <c r="AD109" s="484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33"/>
  <sheetViews>
    <sheetView workbookViewId="0">
      <selection activeCell="W33" sqref="W33"/>
    </sheetView>
  </sheetViews>
  <sheetFormatPr baseColWidth="10" defaultColWidth="8.7109375" defaultRowHeight="15" x14ac:dyDescent="0.25"/>
  <cols>
    <col min="1" max="1" width="12.85546875" customWidth="1"/>
    <col min="3" max="15" width="10.140625" customWidth="1"/>
    <col min="16" max="16" width="11.85546875" customWidth="1"/>
    <col min="17" max="17" width="14.5703125" customWidth="1"/>
    <col min="18" max="18" width="12.140625" style="55" customWidth="1"/>
    <col min="19" max="20" width="12.140625" customWidth="1"/>
    <col min="21" max="21" width="12.28515625" customWidth="1"/>
    <col min="22" max="23" width="11.28515625" customWidth="1"/>
    <col min="24" max="24" width="12" customWidth="1"/>
  </cols>
  <sheetData>
    <row r="1" spans="1:24" x14ac:dyDescent="0.25">
      <c r="A1" s="22" t="s">
        <v>180</v>
      </c>
      <c r="R1"/>
      <c r="S1" s="55"/>
    </row>
    <row r="2" spans="1:24" ht="15.75" thickBot="1" x14ac:dyDescent="0.3"/>
    <row r="3" spans="1:24" ht="15.75" thickBot="1" x14ac:dyDescent="0.3">
      <c r="A3" s="44"/>
      <c r="B3" s="45"/>
      <c r="C3" s="46"/>
      <c r="D3" s="17"/>
      <c r="E3" s="16" t="s">
        <v>181</v>
      </c>
      <c r="F3" s="350"/>
      <c r="G3" s="47"/>
      <c r="H3" s="24" t="s">
        <v>3</v>
      </c>
      <c r="I3" s="336"/>
      <c r="J3" s="2"/>
      <c r="K3" s="12" t="s">
        <v>4</v>
      </c>
      <c r="L3" s="278"/>
      <c r="M3" s="215"/>
      <c r="N3" s="215" t="s">
        <v>5</v>
      </c>
      <c r="O3" s="215"/>
      <c r="P3" s="70"/>
      <c r="Q3" s="14" t="s">
        <v>6</v>
      </c>
      <c r="R3" s="71"/>
      <c r="S3" s="72"/>
      <c r="T3" s="27" t="s">
        <v>7</v>
      </c>
      <c r="U3" s="27"/>
      <c r="V3" s="79"/>
      <c r="W3" s="25" t="s">
        <v>8</v>
      </c>
      <c r="X3" s="220"/>
    </row>
    <row r="4" spans="1:24" ht="15.75" thickBot="1" x14ac:dyDescent="0.3">
      <c r="A4" s="28" t="s">
        <v>182</v>
      </c>
      <c r="B4" s="1"/>
      <c r="C4" s="51"/>
      <c r="D4" s="17" t="s">
        <v>14</v>
      </c>
      <c r="E4" s="16" t="s">
        <v>11</v>
      </c>
      <c r="F4" s="350" t="s">
        <v>12</v>
      </c>
      <c r="G4" s="47" t="s">
        <v>14</v>
      </c>
      <c r="H4" s="24" t="s">
        <v>11</v>
      </c>
      <c r="I4" s="336" t="s">
        <v>12</v>
      </c>
      <c r="J4" s="2" t="s">
        <v>14</v>
      </c>
      <c r="K4" s="12" t="s">
        <v>11</v>
      </c>
      <c r="L4" s="278" t="s">
        <v>12</v>
      </c>
      <c r="M4" s="216" t="s">
        <v>14</v>
      </c>
      <c r="N4" s="216" t="s">
        <v>11</v>
      </c>
      <c r="O4" s="216" t="s">
        <v>12</v>
      </c>
      <c r="P4" s="17" t="s">
        <v>14</v>
      </c>
      <c r="Q4" s="18" t="s">
        <v>11</v>
      </c>
      <c r="R4" s="57" t="s">
        <v>12</v>
      </c>
      <c r="S4" s="47" t="s">
        <v>14</v>
      </c>
      <c r="T4" s="29" t="s">
        <v>11</v>
      </c>
      <c r="U4" s="30" t="s">
        <v>12</v>
      </c>
      <c r="V4" s="2" t="s">
        <v>14</v>
      </c>
      <c r="W4" s="3" t="s">
        <v>11</v>
      </c>
      <c r="X4" s="66" t="s">
        <v>12</v>
      </c>
    </row>
    <row r="5" spans="1:24" x14ac:dyDescent="0.25">
      <c r="A5" s="412" t="s">
        <v>183</v>
      </c>
      <c r="B5" s="413" t="s">
        <v>184</v>
      </c>
      <c r="C5" s="413"/>
      <c r="D5" s="457">
        <v>106</v>
      </c>
      <c r="E5" s="457">
        <v>101</v>
      </c>
      <c r="F5" s="458">
        <f>E5/D5</f>
        <v>0.95283018867924529</v>
      </c>
      <c r="G5" s="337">
        <v>119</v>
      </c>
      <c r="H5" s="338">
        <v>107</v>
      </c>
      <c r="I5" s="339">
        <f>H5/G5</f>
        <v>0.89915966386554624</v>
      </c>
      <c r="J5" s="279">
        <v>116</v>
      </c>
      <c r="K5" s="280">
        <v>108</v>
      </c>
      <c r="L5" s="281">
        <f>K5/J5</f>
        <v>0.93103448275862066</v>
      </c>
      <c r="M5" s="270">
        <v>98</v>
      </c>
      <c r="N5" s="271">
        <v>90</v>
      </c>
      <c r="O5" s="272">
        <v>0.92</v>
      </c>
      <c r="P5" s="15">
        <v>137</v>
      </c>
      <c r="Q5" s="15">
        <v>129</v>
      </c>
      <c r="R5" s="54">
        <f>129/137</f>
        <v>0.94160583941605835</v>
      </c>
      <c r="S5" s="48">
        <v>109</v>
      </c>
      <c r="T5" s="31">
        <v>107</v>
      </c>
      <c r="U5" s="32">
        <f>107/109</f>
        <v>0.98165137614678899</v>
      </c>
      <c r="V5" s="7">
        <v>125</v>
      </c>
      <c r="W5" s="8">
        <v>103</v>
      </c>
      <c r="X5" s="67">
        <f>103/125</f>
        <v>0.82399999999999995</v>
      </c>
    </row>
    <row r="6" spans="1:24" x14ac:dyDescent="0.25">
      <c r="A6" s="9" t="s">
        <v>185</v>
      </c>
      <c r="B6" s="6" t="s">
        <v>186</v>
      </c>
      <c r="C6" s="6"/>
      <c r="D6" s="15">
        <v>51</v>
      </c>
      <c r="E6" s="15">
        <v>49</v>
      </c>
      <c r="F6" s="76">
        <f t="shared" ref="F6:F27" si="0">E6/D6</f>
        <v>0.96078431372549022</v>
      </c>
      <c r="G6" s="48">
        <v>58</v>
      </c>
      <c r="H6" s="31">
        <v>54</v>
      </c>
      <c r="I6" s="340">
        <f t="shared" ref="I6:I26" si="1">H6/G6</f>
        <v>0.93103448275862066</v>
      </c>
      <c r="J6" s="7">
        <v>47</v>
      </c>
      <c r="K6" s="8">
        <v>45</v>
      </c>
      <c r="L6" s="282">
        <f t="shared" ref="L6:L26" si="2">K6/J6</f>
        <v>0.95744680851063835</v>
      </c>
      <c r="M6" s="273">
        <v>51</v>
      </c>
      <c r="N6" s="217">
        <v>50</v>
      </c>
      <c r="O6" s="274">
        <v>0.98</v>
      </c>
      <c r="P6" s="15">
        <v>51</v>
      </c>
      <c r="Q6" s="15">
        <v>47</v>
      </c>
      <c r="R6" s="54">
        <f>47/51</f>
        <v>0.92156862745098034</v>
      </c>
      <c r="S6" s="48"/>
      <c r="T6" s="31"/>
      <c r="U6" s="32"/>
      <c r="V6" s="7"/>
      <c r="W6" s="8"/>
      <c r="X6" s="67"/>
    </row>
    <row r="7" spans="1:24" x14ac:dyDescent="0.25">
      <c r="A7" s="9" t="s">
        <v>187</v>
      </c>
      <c r="B7" s="6" t="s">
        <v>188</v>
      </c>
      <c r="C7" s="6"/>
      <c r="D7" s="15">
        <v>46</v>
      </c>
      <c r="E7" s="15">
        <v>44</v>
      </c>
      <c r="F7" s="76">
        <f t="shared" si="0"/>
        <v>0.95652173913043481</v>
      </c>
      <c r="G7" s="48">
        <v>29</v>
      </c>
      <c r="H7" s="31">
        <v>29</v>
      </c>
      <c r="I7" s="340">
        <f t="shared" si="1"/>
        <v>1</v>
      </c>
      <c r="J7" s="7">
        <v>35</v>
      </c>
      <c r="K7" s="8">
        <v>31</v>
      </c>
      <c r="L7" s="282">
        <f t="shared" si="2"/>
        <v>0.88571428571428568</v>
      </c>
      <c r="M7" s="273">
        <v>42</v>
      </c>
      <c r="N7" s="217">
        <v>40</v>
      </c>
      <c r="O7" s="274">
        <v>0.95</v>
      </c>
      <c r="P7" s="15">
        <v>48</v>
      </c>
      <c r="Q7" s="15">
        <v>44</v>
      </c>
      <c r="R7" s="54">
        <f>44/48</f>
        <v>0.91666666666666663</v>
      </c>
      <c r="S7" s="48">
        <v>55</v>
      </c>
      <c r="T7" s="31">
        <v>51</v>
      </c>
      <c r="U7" s="32">
        <f>51/55</f>
        <v>0.92727272727272725</v>
      </c>
      <c r="V7" s="7">
        <v>47</v>
      </c>
      <c r="W7" s="8">
        <v>42</v>
      </c>
      <c r="X7" s="67">
        <f>42/47</f>
        <v>0.8936170212765957</v>
      </c>
    </row>
    <row r="8" spans="1:24" x14ac:dyDescent="0.25">
      <c r="A8" s="9" t="s">
        <v>189</v>
      </c>
      <c r="B8" s="6" t="s">
        <v>190</v>
      </c>
      <c r="C8" s="6"/>
      <c r="D8" s="15">
        <v>74</v>
      </c>
      <c r="E8" s="15">
        <v>70</v>
      </c>
      <c r="F8" s="76">
        <f t="shared" si="0"/>
        <v>0.94594594594594594</v>
      </c>
      <c r="G8" s="48">
        <v>75</v>
      </c>
      <c r="H8" s="31">
        <v>68</v>
      </c>
      <c r="I8" s="340">
        <f t="shared" si="1"/>
        <v>0.90666666666666662</v>
      </c>
      <c r="J8" s="7">
        <v>94</v>
      </c>
      <c r="K8" s="8">
        <v>90</v>
      </c>
      <c r="L8" s="282">
        <f t="shared" si="2"/>
        <v>0.95744680851063835</v>
      </c>
      <c r="M8" s="273">
        <v>88</v>
      </c>
      <c r="N8" s="217">
        <v>75</v>
      </c>
      <c r="O8" s="274">
        <f>75/88</f>
        <v>0.85227272727272729</v>
      </c>
      <c r="P8" s="15">
        <v>78</v>
      </c>
      <c r="Q8" s="15">
        <v>58</v>
      </c>
      <c r="R8" s="54">
        <f>58/78</f>
        <v>0.74358974358974361</v>
      </c>
      <c r="S8" s="48">
        <v>90</v>
      </c>
      <c r="T8" s="31">
        <v>69</v>
      </c>
      <c r="U8" s="32">
        <f>69/90</f>
        <v>0.76666666666666672</v>
      </c>
      <c r="V8" s="7">
        <v>80</v>
      </c>
      <c r="W8" s="8">
        <v>60</v>
      </c>
      <c r="X8" s="67">
        <f>60/80</f>
        <v>0.75</v>
      </c>
    </row>
    <row r="9" spans="1:24" x14ac:dyDescent="0.25">
      <c r="A9" s="9" t="s">
        <v>191</v>
      </c>
      <c r="B9" s="6" t="s">
        <v>192</v>
      </c>
      <c r="C9" s="6"/>
      <c r="D9" s="15"/>
      <c r="E9" s="15"/>
      <c r="F9" s="76"/>
      <c r="G9" s="48">
        <v>54</v>
      </c>
      <c r="H9" s="31">
        <v>30</v>
      </c>
      <c r="I9" s="340">
        <f t="shared" si="1"/>
        <v>0.55555555555555558</v>
      </c>
      <c r="J9" s="7"/>
      <c r="K9" s="8"/>
      <c r="L9" s="282"/>
      <c r="M9" s="273"/>
      <c r="N9" s="217"/>
      <c r="O9" s="274"/>
      <c r="P9" s="15"/>
      <c r="Q9" s="15"/>
      <c r="R9" s="54"/>
      <c r="S9" s="48"/>
      <c r="T9" s="31"/>
      <c r="U9" s="32"/>
      <c r="V9" s="7"/>
      <c r="W9" s="8"/>
      <c r="X9" s="67"/>
    </row>
    <row r="10" spans="1:24" x14ac:dyDescent="0.25">
      <c r="A10" s="9" t="s">
        <v>193</v>
      </c>
      <c r="B10" s="6" t="s">
        <v>194</v>
      </c>
      <c r="C10" s="6"/>
      <c r="D10" s="15">
        <v>65</v>
      </c>
      <c r="E10" s="15">
        <v>51</v>
      </c>
      <c r="F10" s="76">
        <f t="shared" si="0"/>
        <v>0.7846153846153846</v>
      </c>
      <c r="G10" s="48"/>
      <c r="H10" s="31"/>
      <c r="I10" s="340"/>
      <c r="J10" s="7">
        <v>71</v>
      </c>
      <c r="K10" s="8">
        <v>52</v>
      </c>
      <c r="L10" s="282">
        <f t="shared" si="2"/>
        <v>0.73239436619718312</v>
      </c>
      <c r="M10" s="273">
        <v>89</v>
      </c>
      <c r="N10" s="217">
        <v>72</v>
      </c>
      <c r="O10" s="274">
        <v>0.81</v>
      </c>
      <c r="P10" s="15">
        <v>79</v>
      </c>
      <c r="Q10" s="15">
        <v>52</v>
      </c>
      <c r="R10" s="54">
        <f>52/79</f>
        <v>0.65822784810126578</v>
      </c>
      <c r="S10" s="48">
        <v>70</v>
      </c>
      <c r="T10" s="31">
        <v>51</v>
      </c>
      <c r="U10" s="32">
        <f>51/70</f>
        <v>0.72857142857142854</v>
      </c>
      <c r="V10" s="4">
        <v>31</v>
      </c>
      <c r="W10" s="5">
        <v>25</v>
      </c>
      <c r="X10" s="67">
        <f>25/31</f>
        <v>0.80645161290322576</v>
      </c>
    </row>
    <row r="11" spans="1:24" x14ac:dyDescent="0.25">
      <c r="A11" s="9" t="s">
        <v>195</v>
      </c>
      <c r="B11" s="6" t="s">
        <v>196</v>
      </c>
      <c r="C11" s="6"/>
      <c r="D11" s="15"/>
      <c r="E11" s="15"/>
      <c r="F11" s="76"/>
      <c r="G11" s="48">
        <v>62</v>
      </c>
      <c r="H11" s="31">
        <v>44</v>
      </c>
      <c r="I11" s="340">
        <f t="shared" si="1"/>
        <v>0.70967741935483875</v>
      </c>
      <c r="J11" s="7">
        <v>68</v>
      </c>
      <c r="K11" s="8">
        <v>55</v>
      </c>
      <c r="L11" s="282">
        <f t="shared" si="2"/>
        <v>0.80882352941176472</v>
      </c>
      <c r="M11" s="273"/>
      <c r="N11" s="217"/>
      <c r="O11" s="274"/>
      <c r="P11" s="15"/>
      <c r="Q11" s="15"/>
      <c r="R11" s="54"/>
      <c r="S11" s="48"/>
      <c r="T11" s="31"/>
      <c r="U11" s="32"/>
      <c r="V11" s="4"/>
      <c r="W11" s="5"/>
      <c r="X11" s="67"/>
    </row>
    <row r="12" spans="1:24" x14ac:dyDescent="0.25">
      <c r="A12" s="9" t="s">
        <v>197</v>
      </c>
      <c r="B12" s="6" t="s">
        <v>186</v>
      </c>
      <c r="C12" s="6"/>
      <c r="D12" s="15">
        <v>16</v>
      </c>
      <c r="E12" s="15">
        <v>16</v>
      </c>
      <c r="F12" s="76">
        <f t="shared" si="0"/>
        <v>1</v>
      </c>
      <c r="G12" s="48">
        <v>17</v>
      </c>
      <c r="H12" s="31">
        <v>17</v>
      </c>
      <c r="I12" s="340">
        <f t="shared" si="1"/>
        <v>1</v>
      </c>
      <c r="J12" s="7">
        <v>21</v>
      </c>
      <c r="K12" s="8">
        <v>21</v>
      </c>
      <c r="L12" s="282">
        <f t="shared" si="2"/>
        <v>1</v>
      </c>
      <c r="M12" s="273">
        <v>20</v>
      </c>
      <c r="N12" s="217">
        <v>20</v>
      </c>
      <c r="O12" s="274">
        <v>1</v>
      </c>
      <c r="P12" s="15">
        <v>17</v>
      </c>
      <c r="Q12" s="15">
        <v>17</v>
      </c>
      <c r="R12" s="54">
        <v>1</v>
      </c>
      <c r="S12" s="48">
        <v>19</v>
      </c>
      <c r="T12" s="31">
        <v>17</v>
      </c>
      <c r="U12" s="32">
        <f>17/19</f>
        <v>0.89473684210526316</v>
      </c>
      <c r="V12" s="4">
        <v>22</v>
      </c>
      <c r="W12" s="5">
        <v>20</v>
      </c>
      <c r="X12" s="67">
        <f>20/22</f>
        <v>0.90909090909090906</v>
      </c>
    </row>
    <row r="13" spans="1:24" x14ac:dyDescent="0.25">
      <c r="A13" s="9" t="s">
        <v>198</v>
      </c>
      <c r="B13" s="6" t="s">
        <v>199</v>
      </c>
      <c r="C13" s="6"/>
      <c r="D13" s="15"/>
      <c r="E13" s="15"/>
      <c r="F13" s="76"/>
      <c r="G13" s="48">
        <v>17</v>
      </c>
      <c r="H13" s="31">
        <v>17</v>
      </c>
      <c r="I13" s="340">
        <f t="shared" si="1"/>
        <v>1</v>
      </c>
      <c r="J13" s="7">
        <v>22</v>
      </c>
      <c r="K13" s="8">
        <v>21</v>
      </c>
      <c r="L13" s="282">
        <f t="shared" si="2"/>
        <v>0.95454545454545459</v>
      </c>
      <c r="M13" s="273">
        <v>20</v>
      </c>
      <c r="N13" s="217">
        <v>20</v>
      </c>
      <c r="O13" s="274">
        <v>1</v>
      </c>
      <c r="P13" s="15">
        <v>17</v>
      </c>
      <c r="Q13" s="15">
        <v>17</v>
      </c>
      <c r="R13" s="54">
        <v>1</v>
      </c>
      <c r="S13" s="48">
        <v>18</v>
      </c>
      <c r="T13" s="31">
        <v>17</v>
      </c>
      <c r="U13" s="32">
        <f>17/18</f>
        <v>0.94444444444444442</v>
      </c>
      <c r="V13" s="4">
        <v>19</v>
      </c>
      <c r="W13" s="5">
        <v>19</v>
      </c>
      <c r="X13" s="67">
        <v>1</v>
      </c>
    </row>
    <row r="14" spans="1:24" x14ac:dyDescent="0.25">
      <c r="A14" s="9" t="s">
        <v>200</v>
      </c>
      <c r="B14" s="6" t="s">
        <v>190</v>
      </c>
      <c r="C14" s="6"/>
      <c r="D14" s="15">
        <v>34</v>
      </c>
      <c r="E14" s="15">
        <v>32</v>
      </c>
      <c r="F14" s="76">
        <f t="shared" si="0"/>
        <v>0.94117647058823528</v>
      </c>
      <c r="G14" s="48">
        <v>19</v>
      </c>
      <c r="H14" s="31">
        <v>17</v>
      </c>
      <c r="I14" s="340">
        <f t="shared" si="1"/>
        <v>0.89473684210526316</v>
      </c>
      <c r="J14" s="7">
        <v>11</v>
      </c>
      <c r="K14" s="8">
        <v>11</v>
      </c>
      <c r="L14" s="282">
        <f t="shared" si="2"/>
        <v>1</v>
      </c>
      <c r="M14" s="273">
        <v>21</v>
      </c>
      <c r="N14" s="217">
        <v>17</v>
      </c>
      <c r="O14" s="274">
        <v>0.81</v>
      </c>
      <c r="P14" s="15">
        <v>20</v>
      </c>
      <c r="Q14" s="15">
        <v>16</v>
      </c>
      <c r="R14" s="54">
        <f>16/20</f>
        <v>0.8</v>
      </c>
      <c r="S14" s="48">
        <v>18</v>
      </c>
      <c r="T14" s="31">
        <v>11</v>
      </c>
      <c r="U14" s="32">
        <f>11/18</f>
        <v>0.61111111111111116</v>
      </c>
      <c r="V14" s="4">
        <v>17</v>
      </c>
      <c r="W14" s="5">
        <v>10</v>
      </c>
      <c r="X14" s="67">
        <f>10/17</f>
        <v>0.58823529411764708</v>
      </c>
    </row>
    <row r="15" spans="1:24" x14ac:dyDescent="0.25">
      <c r="A15" s="9" t="s">
        <v>201</v>
      </c>
      <c r="B15" s="6" t="s">
        <v>192</v>
      </c>
      <c r="C15" s="6"/>
      <c r="D15" s="15"/>
      <c r="E15" s="15"/>
      <c r="F15" s="76"/>
      <c r="G15" s="48">
        <v>2</v>
      </c>
      <c r="H15" s="31">
        <v>1</v>
      </c>
      <c r="I15" s="340">
        <f t="shared" si="1"/>
        <v>0.5</v>
      </c>
      <c r="J15" s="7"/>
      <c r="K15" s="8"/>
      <c r="L15" s="282"/>
      <c r="M15" s="273"/>
      <c r="N15" s="217"/>
      <c r="O15" s="274"/>
      <c r="P15" s="15"/>
      <c r="Q15" s="15"/>
      <c r="R15" s="54"/>
      <c r="S15" s="48"/>
      <c r="T15" s="31"/>
      <c r="U15" s="32"/>
      <c r="V15" s="4"/>
      <c r="W15" s="5"/>
      <c r="X15" s="67"/>
    </row>
    <row r="16" spans="1:24" x14ac:dyDescent="0.25">
      <c r="A16" s="9" t="s">
        <v>202</v>
      </c>
      <c r="B16" s="6" t="s">
        <v>203</v>
      </c>
      <c r="C16" s="6"/>
      <c r="D16" s="15">
        <v>3</v>
      </c>
      <c r="E16" s="15">
        <v>3</v>
      </c>
      <c r="F16" s="76">
        <f t="shared" si="0"/>
        <v>1</v>
      </c>
      <c r="G16" s="48"/>
      <c r="H16" s="31"/>
      <c r="I16" s="340"/>
      <c r="J16" s="7">
        <v>9</v>
      </c>
      <c r="K16" s="8">
        <v>7</v>
      </c>
      <c r="L16" s="282">
        <f t="shared" si="2"/>
        <v>0.77777777777777779</v>
      </c>
      <c r="M16" s="273">
        <v>13</v>
      </c>
      <c r="N16" s="217">
        <v>9</v>
      </c>
      <c r="O16" s="274">
        <v>0.69</v>
      </c>
      <c r="P16" s="15">
        <v>6</v>
      </c>
      <c r="Q16" s="15">
        <v>6</v>
      </c>
      <c r="R16" s="54">
        <v>1</v>
      </c>
      <c r="S16" s="48">
        <v>5</v>
      </c>
      <c r="T16" s="31">
        <v>5</v>
      </c>
      <c r="U16" s="32">
        <v>1</v>
      </c>
      <c r="V16" s="4">
        <v>6</v>
      </c>
      <c r="W16" s="5">
        <v>6</v>
      </c>
      <c r="X16" s="67">
        <v>1</v>
      </c>
    </row>
    <row r="17" spans="1:31" x14ac:dyDescent="0.25">
      <c r="A17" s="9" t="s">
        <v>204</v>
      </c>
      <c r="B17" s="6" t="s">
        <v>205</v>
      </c>
      <c r="C17" s="6"/>
      <c r="D17" s="15">
        <v>7</v>
      </c>
      <c r="E17" s="15">
        <v>6</v>
      </c>
      <c r="F17" s="76">
        <f t="shared" si="0"/>
        <v>0.8571428571428571</v>
      </c>
      <c r="G17" s="48"/>
      <c r="H17" s="31"/>
      <c r="I17" s="340"/>
      <c r="J17" s="7"/>
      <c r="K17" s="8"/>
      <c r="L17" s="282"/>
      <c r="M17" s="273"/>
      <c r="N17" s="217"/>
      <c r="O17" s="274"/>
      <c r="P17" s="15"/>
      <c r="Q17" s="15"/>
      <c r="R17" s="54"/>
      <c r="S17" s="48"/>
      <c r="T17" s="31"/>
      <c r="U17" s="32"/>
      <c r="V17" s="4"/>
      <c r="W17" s="5"/>
      <c r="X17" s="67"/>
    </row>
    <row r="18" spans="1:31" x14ac:dyDescent="0.25">
      <c r="A18" s="9" t="s">
        <v>206</v>
      </c>
      <c r="B18" s="6" t="s">
        <v>196</v>
      </c>
      <c r="C18" s="6"/>
      <c r="D18" s="15"/>
      <c r="E18" s="15"/>
      <c r="F18" s="76"/>
      <c r="G18" s="48">
        <v>6</v>
      </c>
      <c r="H18" s="31">
        <v>6</v>
      </c>
      <c r="I18" s="340">
        <f t="shared" si="1"/>
        <v>1</v>
      </c>
      <c r="J18" s="7">
        <v>17</v>
      </c>
      <c r="K18" s="8">
        <v>15</v>
      </c>
      <c r="L18" s="282">
        <f t="shared" si="2"/>
        <v>0.88235294117647056</v>
      </c>
      <c r="M18" s="273"/>
      <c r="N18" s="217"/>
      <c r="O18" s="274"/>
      <c r="P18" s="15"/>
      <c r="Q18" s="15"/>
      <c r="R18" s="54"/>
      <c r="S18" s="48"/>
      <c r="T18" s="31"/>
      <c r="U18" s="32"/>
      <c r="V18" s="4"/>
      <c r="W18" s="5"/>
      <c r="X18" s="67"/>
    </row>
    <row r="19" spans="1:31" x14ac:dyDescent="0.25">
      <c r="A19" s="9" t="s">
        <v>207</v>
      </c>
      <c r="B19" s="6" t="s">
        <v>208</v>
      </c>
      <c r="C19" s="6"/>
      <c r="D19" s="15"/>
      <c r="E19" s="15"/>
      <c r="F19" s="76"/>
      <c r="G19" s="48">
        <v>6</v>
      </c>
      <c r="H19" s="31">
        <v>5</v>
      </c>
      <c r="I19" s="340">
        <f t="shared" si="1"/>
        <v>0.83333333333333337</v>
      </c>
      <c r="J19" s="7"/>
      <c r="K19" s="8"/>
      <c r="L19" s="282"/>
      <c r="M19" s="273"/>
      <c r="N19" s="217"/>
      <c r="O19" s="274"/>
      <c r="P19" s="15"/>
      <c r="Q19" s="15"/>
      <c r="R19" s="54"/>
      <c r="S19" s="48"/>
      <c r="T19" s="31"/>
      <c r="U19" s="32"/>
      <c r="V19" s="4"/>
      <c r="W19" s="5"/>
      <c r="X19" s="67"/>
    </row>
    <row r="20" spans="1:31" x14ac:dyDescent="0.25">
      <c r="A20" s="9" t="s">
        <v>209</v>
      </c>
      <c r="B20" s="6" t="s">
        <v>210</v>
      </c>
      <c r="C20" s="6"/>
      <c r="D20" s="15">
        <v>17</v>
      </c>
      <c r="E20" s="15">
        <v>17</v>
      </c>
      <c r="F20" s="76">
        <f t="shared" si="0"/>
        <v>1</v>
      </c>
      <c r="G20" s="48">
        <v>20</v>
      </c>
      <c r="H20" s="31">
        <v>20</v>
      </c>
      <c r="I20" s="340">
        <f t="shared" si="1"/>
        <v>1</v>
      </c>
      <c r="J20" s="7">
        <v>20</v>
      </c>
      <c r="K20" s="8">
        <v>19</v>
      </c>
      <c r="L20" s="282">
        <f t="shared" si="2"/>
        <v>0.95</v>
      </c>
      <c r="M20" s="273">
        <v>8</v>
      </c>
      <c r="N20" s="217">
        <v>8</v>
      </c>
      <c r="O20" s="274">
        <v>1</v>
      </c>
      <c r="P20" s="15">
        <v>2</v>
      </c>
      <c r="Q20" s="15">
        <v>2</v>
      </c>
      <c r="R20" s="54">
        <v>1</v>
      </c>
      <c r="S20" s="48">
        <v>8</v>
      </c>
      <c r="T20" s="31">
        <v>8</v>
      </c>
      <c r="U20" s="32">
        <v>1</v>
      </c>
      <c r="V20" s="4">
        <v>13</v>
      </c>
      <c r="W20" s="5">
        <v>11</v>
      </c>
      <c r="X20" s="67">
        <f>11/13</f>
        <v>0.84615384615384615</v>
      </c>
    </row>
    <row r="21" spans="1:31" x14ac:dyDescent="0.25">
      <c r="A21" s="9" t="s">
        <v>211</v>
      </c>
      <c r="B21" s="6" t="s">
        <v>212</v>
      </c>
      <c r="C21" s="6"/>
      <c r="D21" s="15">
        <v>16</v>
      </c>
      <c r="E21" s="15">
        <v>16</v>
      </c>
      <c r="F21" s="76">
        <f t="shared" si="0"/>
        <v>1</v>
      </c>
      <c r="G21" s="48">
        <v>16</v>
      </c>
      <c r="H21" s="31">
        <v>16</v>
      </c>
      <c r="I21" s="340">
        <f t="shared" si="1"/>
        <v>1</v>
      </c>
      <c r="J21" s="7"/>
      <c r="K21" s="8"/>
      <c r="L21" s="282"/>
      <c r="M21" s="273"/>
      <c r="N21" s="217"/>
      <c r="O21" s="274"/>
      <c r="P21" s="15"/>
      <c r="Q21" s="15"/>
      <c r="R21" s="54"/>
      <c r="S21" s="48"/>
      <c r="T21" s="31"/>
      <c r="U21" s="32"/>
      <c r="V21" s="4"/>
      <c r="W21" s="5"/>
      <c r="X21" s="67"/>
    </row>
    <row r="22" spans="1:31" x14ac:dyDescent="0.25">
      <c r="A22" s="9" t="s">
        <v>213</v>
      </c>
      <c r="B22" s="6" t="s">
        <v>214</v>
      </c>
      <c r="C22" s="6"/>
      <c r="D22" s="15">
        <v>72</v>
      </c>
      <c r="E22" s="15">
        <v>64</v>
      </c>
      <c r="F22" s="76">
        <f t="shared" si="0"/>
        <v>0.88888888888888884</v>
      </c>
      <c r="G22" s="48">
        <v>63</v>
      </c>
      <c r="H22" s="31">
        <v>49</v>
      </c>
      <c r="I22" s="340">
        <f t="shared" si="1"/>
        <v>0.77777777777777779</v>
      </c>
      <c r="J22" s="7">
        <v>67</v>
      </c>
      <c r="K22" s="8">
        <v>58</v>
      </c>
      <c r="L22" s="282">
        <f t="shared" si="2"/>
        <v>0.86567164179104472</v>
      </c>
      <c r="M22" s="273">
        <v>90</v>
      </c>
      <c r="N22" s="217">
        <v>80</v>
      </c>
      <c r="O22" s="274">
        <v>0.88</v>
      </c>
      <c r="P22" s="15">
        <v>75</v>
      </c>
      <c r="Q22" s="15">
        <v>53</v>
      </c>
      <c r="R22" s="54">
        <v>0.7</v>
      </c>
      <c r="S22" s="48" t="s">
        <v>215</v>
      </c>
      <c r="T22" s="31"/>
      <c r="U22" s="32"/>
      <c r="V22" s="4"/>
      <c r="W22" s="5"/>
      <c r="X22" s="67"/>
    </row>
    <row r="23" spans="1:31" x14ac:dyDescent="0.25">
      <c r="A23" s="9" t="s">
        <v>216</v>
      </c>
      <c r="B23" s="6" t="s">
        <v>214</v>
      </c>
      <c r="C23" s="6"/>
      <c r="D23" s="15">
        <v>30</v>
      </c>
      <c r="E23" s="15">
        <v>28</v>
      </c>
      <c r="F23" s="76">
        <f t="shared" si="0"/>
        <v>0.93333333333333335</v>
      </c>
      <c r="G23" s="48">
        <v>16</v>
      </c>
      <c r="H23" s="31">
        <v>13</v>
      </c>
      <c r="I23" s="340">
        <f t="shared" si="1"/>
        <v>0.8125</v>
      </c>
      <c r="J23" s="7">
        <v>20</v>
      </c>
      <c r="K23" s="8">
        <v>16</v>
      </c>
      <c r="L23" s="282">
        <f t="shared" si="2"/>
        <v>0.8</v>
      </c>
      <c r="M23" s="273">
        <v>13</v>
      </c>
      <c r="N23" s="217">
        <v>10</v>
      </c>
      <c r="O23" s="274">
        <v>0.77</v>
      </c>
      <c r="P23" s="15">
        <v>10</v>
      </c>
      <c r="Q23" s="15">
        <v>9</v>
      </c>
      <c r="R23" s="76">
        <v>0.9</v>
      </c>
      <c r="S23" s="48"/>
      <c r="T23" s="31"/>
      <c r="U23" s="32"/>
      <c r="V23" s="4"/>
      <c r="W23" s="5"/>
      <c r="X23" s="67"/>
    </row>
    <row r="24" spans="1:31" x14ac:dyDescent="0.25">
      <c r="A24" s="9" t="s">
        <v>217</v>
      </c>
      <c r="B24" s="6" t="s">
        <v>186</v>
      </c>
      <c r="C24" s="269"/>
      <c r="D24" s="15">
        <v>10</v>
      </c>
      <c r="E24" s="15">
        <v>10</v>
      </c>
      <c r="F24" s="76">
        <f t="shared" si="0"/>
        <v>1</v>
      </c>
      <c r="G24" s="48">
        <v>14</v>
      </c>
      <c r="H24" s="31">
        <v>14</v>
      </c>
      <c r="I24" s="340">
        <f t="shared" si="1"/>
        <v>1</v>
      </c>
      <c r="J24" s="7">
        <v>9</v>
      </c>
      <c r="K24" s="8">
        <v>8</v>
      </c>
      <c r="L24" s="282">
        <f t="shared" si="2"/>
        <v>0.88888888888888884</v>
      </c>
      <c r="M24" s="273">
        <v>8</v>
      </c>
      <c r="N24" s="217">
        <v>8</v>
      </c>
      <c r="O24" s="274">
        <v>0.08</v>
      </c>
      <c r="P24" s="15">
        <v>5</v>
      </c>
      <c r="Q24" s="15">
        <v>5</v>
      </c>
      <c r="R24" s="54">
        <v>1</v>
      </c>
      <c r="S24" s="48">
        <v>10</v>
      </c>
      <c r="T24" s="31">
        <v>9</v>
      </c>
      <c r="U24" s="32">
        <f>9/10</f>
        <v>0.9</v>
      </c>
      <c r="V24" s="7">
        <v>7</v>
      </c>
      <c r="W24" s="8">
        <v>7</v>
      </c>
      <c r="X24" s="67">
        <v>1</v>
      </c>
    </row>
    <row r="25" spans="1:31" x14ac:dyDescent="0.25">
      <c r="A25" s="9" t="s">
        <v>218</v>
      </c>
      <c r="B25" s="6" t="s">
        <v>199</v>
      </c>
      <c r="C25" s="6"/>
      <c r="D25" s="15"/>
      <c r="E25" s="15"/>
      <c r="F25" s="76"/>
      <c r="G25" s="48">
        <v>13</v>
      </c>
      <c r="H25" s="31">
        <v>13</v>
      </c>
      <c r="I25" s="340">
        <f t="shared" si="1"/>
        <v>1</v>
      </c>
      <c r="J25" s="7">
        <v>8</v>
      </c>
      <c r="K25" s="8">
        <v>7</v>
      </c>
      <c r="L25" s="282">
        <f t="shared" si="2"/>
        <v>0.875</v>
      </c>
      <c r="M25" s="273">
        <v>7</v>
      </c>
      <c r="N25" s="217">
        <v>7</v>
      </c>
      <c r="O25" s="274">
        <v>7.0000000000000007E-2</v>
      </c>
      <c r="P25" s="15">
        <v>5</v>
      </c>
      <c r="Q25" s="15">
        <v>5</v>
      </c>
      <c r="R25" s="54">
        <v>1</v>
      </c>
      <c r="S25" s="48">
        <v>10</v>
      </c>
      <c r="T25" s="31">
        <v>10</v>
      </c>
      <c r="U25" s="32">
        <v>1</v>
      </c>
      <c r="V25" s="7">
        <v>6</v>
      </c>
      <c r="W25" s="8">
        <v>6</v>
      </c>
      <c r="X25" s="67">
        <v>1</v>
      </c>
    </row>
    <row r="26" spans="1:31" ht="15.75" thickBot="1" x14ac:dyDescent="0.3">
      <c r="A26" s="35" t="s">
        <v>219</v>
      </c>
      <c r="B26" s="397" t="s">
        <v>220</v>
      </c>
      <c r="C26" s="397"/>
      <c r="D26" s="63">
        <v>11</v>
      </c>
      <c r="E26" s="63">
        <v>11</v>
      </c>
      <c r="F26" s="459">
        <f t="shared" si="0"/>
        <v>1</v>
      </c>
      <c r="G26" s="341">
        <v>5</v>
      </c>
      <c r="H26" s="36">
        <v>5</v>
      </c>
      <c r="I26" s="342">
        <f t="shared" si="1"/>
        <v>1</v>
      </c>
      <c r="J26" s="283">
        <v>5</v>
      </c>
      <c r="K26" s="284">
        <v>5</v>
      </c>
      <c r="L26" s="285">
        <f t="shared" si="2"/>
        <v>1</v>
      </c>
      <c r="M26" s="275">
        <v>5</v>
      </c>
      <c r="N26" s="276">
        <v>5</v>
      </c>
      <c r="O26" s="277">
        <v>1</v>
      </c>
      <c r="P26" s="15">
        <v>2</v>
      </c>
      <c r="Q26" s="15">
        <v>2</v>
      </c>
      <c r="R26" s="54">
        <v>1</v>
      </c>
      <c r="S26" s="48">
        <v>3</v>
      </c>
      <c r="T26" s="31">
        <v>3</v>
      </c>
      <c r="U26" s="32">
        <v>1</v>
      </c>
      <c r="V26" s="7">
        <v>2</v>
      </c>
      <c r="W26" s="8">
        <v>2</v>
      </c>
      <c r="X26" s="67">
        <v>1</v>
      </c>
    </row>
    <row r="27" spans="1:31" ht="15.75" thickBot="1" x14ac:dyDescent="0.3">
      <c r="A27" s="10"/>
      <c r="B27" s="33" t="s">
        <v>46</v>
      </c>
      <c r="C27" s="53"/>
      <c r="D27" s="21">
        <f>SUM(D5:D26)</f>
        <v>558</v>
      </c>
      <c r="E27" s="21">
        <f>SUM(E5:E26)</f>
        <v>518</v>
      </c>
      <c r="F27" s="460">
        <f t="shared" si="0"/>
        <v>0.92831541218637992</v>
      </c>
      <c r="G27" s="23">
        <f>SUM(G5:G26)</f>
        <v>611</v>
      </c>
      <c r="H27" s="23">
        <f>SUM(H5:H26)</f>
        <v>525</v>
      </c>
      <c r="I27" s="343">
        <f>(SUM(I5:I26)/17)</f>
        <v>0.98943774949515317</v>
      </c>
      <c r="J27" s="13">
        <f>SUM(J5:J26)</f>
        <v>640</v>
      </c>
      <c r="K27" s="13">
        <f>SUM(K5:K26)</f>
        <v>569</v>
      </c>
      <c r="L27" s="286">
        <f>(SUM(L5:L26)/17)</f>
        <v>0.89806452854604513</v>
      </c>
      <c r="M27" s="218">
        <f>SUM(M5:M26)</f>
        <v>573</v>
      </c>
      <c r="N27" s="218">
        <f>SUM(N5:N26)</f>
        <v>511</v>
      </c>
      <c r="O27" s="219">
        <v>0.89</v>
      </c>
      <c r="P27" s="42">
        <f>SUM(P5:P26)</f>
        <v>552</v>
      </c>
      <c r="Q27" s="21">
        <f>SUM(Q5:Q26)</f>
        <v>462</v>
      </c>
      <c r="R27" s="58">
        <f>462/552</f>
        <v>0.83695652173913049</v>
      </c>
      <c r="S27" s="49">
        <v>670</v>
      </c>
      <c r="T27" s="23">
        <v>599</v>
      </c>
      <c r="U27" s="34">
        <f>599/670</f>
        <v>0.89402985074626862</v>
      </c>
      <c r="V27" s="221">
        <v>526</v>
      </c>
      <c r="W27" s="13">
        <v>439</v>
      </c>
      <c r="X27" s="69">
        <f>439/526</f>
        <v>0.83460076045627374</v>
      </c>
    </row>
    <row r="28" spans="1:31" ht="15.75" thickBot="1" x14ac:dyDescent="0.3"/>
    <row r="29" spans="1:31" x14ac:dyDescent="0.25">
      <c r="A29" s="466" t="s">
        <v>253</v>
      </c>
      <c r="B29" s="541" t="s">
        <v>221</v>
      </c>
      <c r="C29" s="542"/>
      <c r="D29" s="549" t="s">
        <v>175</v>
      </c>
      <c r="E29" s="550">
        <v>39</v>
      </c>
      <c r="F29" s="550"/>
      <c r="G29" s="549">
        <v>2024</v>
      </c>
      <c r="H29" s="550">
        <v>37</v>
      </c>
      <c r="I29" s="550"/>
      <c r="J29" s="549">
        <v>2023</v>
      </c>
      <c r="K29" s="550">
        <v>39</v>
      </c>
      <c r="L29" s="551"/>
      <c r="M29" s="549">
        <v>2022</v>
      </c>
      <c r="N29" s="550">
        <v>52</v>
      </c>
      <c r="O29" s="550"/>
      <c r="P29" s="551">
        <v>2021</v>
      </c>
      <c r="Q29" s="552">
        <v>37</v>
      </c>
      <c r="R29" s="550"/>
      <c r="S29" s="553">
        <v>2020</v>
      </c>
      <c r="T29" s="551">
        <v>54</v>
      </c>
      <c r="U29" s="553"/>
      <c r="V29" s="553">
        <v>2019</v>
      </c>
      <c r="W29" s="550">
        <v>39</v>
      </c>
      <c r="X29" s="554"/>
      <c r="Y29" s="537"/>
      <c r="Z29" s="537"/>
      <c r="AA29" s="537"/>
      <c r="AB29" s="537"/>
      <c r="AC29" s="537"/>
      <c r="AD29" s="537"/>
      <c r="AE29" s="538"/>
    </row>
    <row r="30" spans="1:31" x14ac:dyDescent="0.25">
      <c r="A30" s="543"/>
      <c r="B30" s="544" t="s">
        <v>222</v>
      </c>
      <c r="C30" s="545"/>
      <c r="D30" s="555"/>
      <c r="E30" s="555">
        <v>16</v>
      </c>
      <c r="F30" s="555"/>
      <c r="G30" s="555"/>
      <c r="H30" s="555">
        <v>21</v>
      </c>
      <c r="I30" s="555"/>
      <c r="J30" s="555"/>
      <c r="K30" s="555">
        <v>20</v>
      </c>
      <c r="L30" s="555"/>
      <c r="M30" s="555"/>
      <c r="N30" s="555">
        <v>16</v>
      </c>
      <c r="O30" s="555"/>
      <c r="P30" s="555"/>
      <c r="Q30" s="555">
        <v>12</v>
      </c>
      <c r="R30" s="556"/>
      <c r="S30" s="555"/>
      <c r="T30" s="555">
        <v>19</v>
      </c>
      <c r="U30" s="555"/>
      <c r="V30" s="555"/>
      <c r="W30" s="555">
        <v>18</v>
      </c>
      <c r="X30" s="557"/>
      <c r="Y30" s="538"/>
      <c r="Z30" s="538"/>
      <c r="AA30" s="538"/>
      <c r="AB30" s="538"/>
      <c r="AC30" s="538"/>
      <c r="AD30" s="538"/>
      <c r="AE30" s="538"/>
    </row>
    <row r="31" spans="1:31" ht="15.75" thickBot="1" x14ac:dyDescent="0.3">
      <c r="A31" s="546"/>
      <c r="B31" s="547" t="s">
        <v>223</v>
      </c>
      <c r="C31" s="548"/>
      <c r="D31" s="558"/>
      <c r="E31" s="558">
        <v>11</v>
      </c>
      <c r="F31" s="558"/>
      <c r="G31" s="558"/>
      <c r="H31" s="558">
        <v>7</v>
      </c>
      <c r="I31" s="558"/>
      <c r="J31" s="558"/>
      <c r="K31" s="558">
        <v>5</v>
      </c>
      <c r="L31" s="558"/>
      <c r="M31" s="558"/>
      <c r="N31" s="558">
        <v>9</v>
      </c>
      <c r="O31" s="558"/>
      <c r="P31" s="558"/>
      <c r="Q31" s="558">
        <v>8</v>
      </c>
      <c r="R31" s="559"/>
      <c r="S31" s="558"/>
      <c r="T31" s="558">
        <v>5</v>
      </c>
      <c r="U31" s="558"/>
      <c r="V31" s="558"/>
      <c r="W31" s="558">
        <v>5</v>
      </c>
      <c r="X31" s="560"/>
      <c r="Y31" s="538"/>
      <c r="Z31" s="538"/>
      <c r="AA31" s="538"/>
      <c r="AB31" s="538"/>
      <c r="AC31" s="538"/>
      <c r="AD31" s="538"/>
      <c r="AE31" s="538"/>
    </row>
    <row r="32" spans="1:31" x14ac:dyDescent="0.25">
      <c r="A32" s="538"/>
      <c r="B32" s="538"/>
      <c r="C32" s="538"/>
      <c r="D32" s="538"/>
      <c r="E32" s="538"/>
      <c r="F32" s="538"/>
      <c r="G32" s="538"/>
      <c r="H32" s="538"/>
      <c r="I32" s="538"/>
      <c r="J32" s="538"/>
      <c r="K32" s="538"/>
      <c r="L32" s="538"/>
      <c r="M32" s="538"/>
      <c r="N32" s="538"/>
      <c r="O32" s="538"/>
      <c r="P32" s="538"/>
      <c r="Q32" s="538"/>
      <c r="R32" s="540"/>
      <c r="S32" s="538"/>
      <c r="T32" s="538"/>
      <c r="U32" s="538"/>
      <c r="V32" s="538"/>
      <c r="W32" s="538"/>
      <c r="X32" s="538"/>
      <c r="Y32" s="538"/>
      <c r="Z32" s="538"/>
      <c r="AA32" s="538"/>
      <c r="AB32" s="538"/>
      <c r="AC32" s="538"/>
      <c r="AD32" s="538"/>
      <c r="AE32" s="538"/>
    </row>
    <row r="33" spans="1:31" x14ac:dyDescent="0.25">
      <c r="A33" s="538"/>
      <c r="B33" s="538"/>
      <c r="C33" s="538"/>
      <c r="D33" s="538"/>
      <c r="E33" s="538"/>
      <c r="F33" s="538"/>
      <c r="G33" s="538"/>
      <c r="H33" s="538"/>
      <c r="I33" s="538"/>
      <c r="J33" s="538"/>
      <c r="K33" s="538"/>
      <c r="L33" s="538"/>
      <c r="M33" s="538"/>
      <c r="N33" s="538"/>
      <c r="O33" s="538"/>
      <c r="P33" s="538"/>
      <c r="Q33" s="538"/>
      <c r="R33" s="540"/>
      <c r="S33" s="538"/>
      <c r="T33" s="538"/>
      <c r="U33" s="538"/>
      <c r="V33" s="538"/>
      <c r="W33" s="538"/>
      <c r="X33" s="538"/>
      <c r="Y33" s="538"/>
      <c r="Z33" s="538"/>
      <c r="AA33" s="538"/>
      <c r="AB33" s="538"/>
      <c r="AC33" s="538"/>
      <c r="AD33" s="538"/>
      <c r="AE33" s="53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4"/>
  <sheetViews>
    <sheetView workbookViewId="0">
      <selection activeCell="A12" sqref="A12:X12"/>
    </sheetView>
  </sheetViews>
  <sheetFormatPr baseColWidth="10" defaultColWidth="8.7109375" defaultRowHeight="15" x14ac:dyDescent="0.25"/>
  <cols>
    <col min="1" max="1" width="11.7109375" customWidth="1"/>
    <col min="3" max="3" width="10.28515625" customWidth="1"/>
    <col min="16" max="16" width="10.28515625" customWidth="1"/>
    <col min="19" max="19" width="10.42578125" customWidth="1"/>
    <col min="21" max="21" width="10" customWidth="1"/>
  </cols>
  <sheetData>
    <row r="1" spans="1:30" s="22" customFormat="1" x14ac:dyDescent="0.25">
      <c r="A1" s="22" t="s">
        <v>180</v>
      </c>
    </row>
    <row r="2" spans="1:30" s="22" customFormat="1" ht="15.75" thickBot="1" x14ac:dyDescent="0.3"/>
    <row r="3" spans="1:30" s="22" customFormat="1" ht="15.75" thickBot="1" x14ac:dyDescent="0.3">
      <c r="A3" s="44"/>
      <c r="B3" s="44"/>
      <c r="C3" s="46"/>
      <c r="D3" s="17"/>
      <c r="E3" s="16" t="s">
        <v>181</v>
      </c>
      <c r="F3" s="350"/>
      <c r="G3" s="47"/>
      <c r="H3" s="24" t="s">
        <v>3</v>
      </c>
      <c r="I3" s="336"/>
      <c r="J3" s="2"/>
      <c r="K3" s="12" t="s">
        <v>4</v>
      </c>
      <c r="L3" s="278"/>
      <c r="M3" s="202"/>
      <c r="N3" s="202" t="s">
        <v>5</v>
      </c>
      <c r="O3" s="202"/>
      <c r="P3" s="38"/>
      <c r="Q3" s="39" t="s">
        <v>6</v>
      </c>
      <c r="R3" s="56"/>
      <c r="S3" s="50"/>
      <c r="T3" s="50" t="s">
        <v>7</v>
      </c>
      <c r="U3" s="50"/>
      <c r="V3" s="61"/>
      <c r="W3" s="61" t="s">
        <v>8</v>
      </c>
      <c r="X3" s="65"/>
    </row>
    <row r="4" spans="1:30" ht="15.75" thickBot="1" x14ac:dyDescent="0.3">
      <c r="A4" s="11" t="s">
        <v>224</v>
      </c>
      <c r="B4" s="28"/>
      <c r="C4" s="59"/>
      <c r="D4" s="42" t="s">
        <v>14</v>
      </c>
      <c r="E4" s="21" t="s">
        <v>11</v>
      </c>
      <c r="F4" s="43" t="s">
        <v>12</v>
      </c>
      <c r="G4" s="49" t="s">
        <v>14</v>
      </c>
      <c r="H4" s="23" t="s">
        <v>11</v>
      </c>
      <c r="I4" s="344" t="s">
        <v>12</v>
      </c>
      <c r="J4" s="221" t="s">
        <v>14</v>
      </c>
      <c r="K4" s="13" t="s">
        <v>11</v>
      </c>
      <c r="L4" s="287" t="s">
        <v>12</v>
      </c>
      <c r="M4" s="203" t="s">
        <v>14</v>
      </c>
      <c r="N4" s="203" t="s">
        <v>11</v>
      </c>
      <c r="O4" s="203" t="s">
        <v>12</v>
      </c>
      <c r="P4" s="16" t="s">
        <v>14</v>
      </c>
      <c r="Q4" s="18" t="s">
        <v>11</v>
      </c>
      <c r="R4" s="19" t="s">
        <v>12</v>
      </c>
      <c r="S4" s="24" t="s">
        <v>14</v>
      </c>
      <c r="T4" s="29" t="s">
        <v>11</v>
      </c>
      <c r="U4" s="30" t="s">
        <v>12</v>
      </c>
      <c r="V4" s="12" t="s">
        <v>14</v>
      </c>
      <c r="W4" s="3" t="s">
        <v>11</v>
      </c>
      <c r="X4" s="66" t="s">
        <v>12</v>
      </c>
    </row>
    <row r="5" spans="1:30" x14ac:dyDescent="0.25">
      <c r="A5" s="9" t="s">
        <v>225</v>
      </c>
      <c r="B5" s="9" t="s">
        <v>226</v>
      </c>
      <c r="C5" s="52"/>
      <c r="D5" s="15">
        <v>15</v>
      </c>
      <c r="E5" s="15">
        <v>15</v>
      </c>
      <c r="F5" s="15"/>
      <c r="G5" s="337" t="s">
        <v>227</v>
      </c>
      <c r="H5" s="338"/>
      <c r="I5" s="339"/>
      <c r="J5" s="279">
        <v>25</v>
      </c>
      <c r="K5" s="280">
        <v>21</v>
      </c>
      <c r="L5" s="281">
        <f>K5/J5</f>
        <v>0.84</v>
      </c>
      <c r="M5" s="204">
        <v>27</v>
      </c>
      <c r="N5" s="204">
        <v>26</v>
      </c>
      <c r="O5" s="289">
        <f>N5/M5</f>
        <v>0.96296296296296291</v>
      </c>
      <c r="P5" s="40">
        <v>33</v>
      </c>
      <c r="Q5" s="15">
        <v>27</v>
      </c>
      <c r="R5" s="41">
        <v>100</v>
      </c>
      <c r="S5" s="31">
        <v>23</v>
      </c>
      <c r="T5" s="31">
        <v>17</v>
      </c>
      <c r="U5" s="32">
        <f>12/13</f>
        <v>0.92307692307692313</v>
      </c>
      <c r="V5" s="8">
        <v>29</v>
      </c>
      <c r="W5" s="8">
        <v>26</v>
      </c>
      <c r="X5" s="67">
        <f>26/29</f>
        <v>0.89655172413793105</v>
      </c>
    </row>
    <row r="6" spans="1:30" x14ac:dyDescent="0.25">
      <c r="A6" s="9" t="s">
        <v>228</v>
      </c>
      <c r="B6" s="9" t="s">
        <v>229</v>
      </c>
      <c r="C6" s="52"/>
      <c r="D6" s="15"/>
      <c r="E6" s="15"/>
      <c r="F6" s="15"/>
      <c r="G6" s="48" t="s">
        <v>230</v>
      </c>
      <c r="H6" s="31"/>
      <c r="I6" s="340"/>
      <c r="J6" s="7">
        <v>5</v>
      </c>
      <c r="K6" s="8">
        <v>5</v>
      </c>
      <c r="L6" s="282">
        <f>K6/J6</f>
        <v>1</v>
      </c>
      <c r="M6" s="204">
        <v>6</v>
      </c>
      <c r="N6" s="204">
        <v>5</v>
      </c>
      <c r="O6" s="289">
        <f>N6/M6</f>
        <v>0.83333333333333337</v>
      </c>
      <c r="P6" s="31" t="s">
        <v>231</v>
      </c>
      <c r="Q6" s="15"/>
      <c r="R6" s="41"/>
      <c r="S6" s="31">
        <v>7</v>
      </c>
      <c r="T6" s="31">
        <v>5</v>
      </c>
      <c r="U6" s="32">
        <f>5/7</f>
        <v>0.7142857142857143</v>
      </c>
      <c r="V6" s="5" t="s">
        <v>231</v>
      </c>
      <c r="W6" s="5"/>
      <c r="X6" s="67"/>
    </row>
    <row r="7" spans="1:30" x14ac:dyDescent="0.25">
      <c r="A7" s="9" t="s">
        <v>232</v>
      </c>
      <c r="B7" s="9" t="s">
        <v>233</v>
      </c>
      <c r="C7" s="52"/>
      <c r="D7" s="15">
        <v>24</v>
      </c>
      <c r="E7" s="15">
        <v>21</v>
      </c>
      <c r="F7" s="15"/>
      <c r="G7" s="48">
        <v>13</v>
      </c>
      <c r="H7" s="31">
        <v>13</v>
      </c>
      <c r="I7" s="340">
        <f t="shared" ref="I7:I9" si="0">H7/G7</f>
        <v>1</v>
      </c>
      <c r="J7" s="7">
        <v>21</v>
      </c>
      <c r="K7" s="8">
        <v>15</v>
      </c>
      <c r="L7" s="282">
        <f t="shared" ref="L7:L9" si="1">K7/J7</f>
        <v>0.7142857142857143</v>
      </c>
      <c r="M7" s="204">
        <v>25</v>
      </c>
      <c r="N7" s="204">
        <v>15</v>
      </c>
      <c r="O7" s="289">
        <f t="shared" ref="O7:O9" si="2">N7/M7</f>
        <v>0.6</v>
      </c>
      <c r="P7" s="40">
        <v>2</v>
      </c>
      <c r="Q7" s="15">
        <v>0</v>
      </c>
      <c r="R7" s="41">
        <v>0</v>
      </c>
      <c r="S7" s="31">
        <v>29</v>
      </c>
      <c r="T7" s="31">
        <v>22</v>
      </c>
      <c r="U7" s="32">
        <f>22/29</f>
        <v>0.75862068965517238</v>
      </c>
      <c r="V7" s="8">
        <v>33</v>
      </c>
      <c r="W7" s="8">
        <v>20</v>
      </c>
      <c r="X7" s="67">
        <f>20/33</f>
        <v>0.60606060606060608</v>
      </c>
    </row>
    <row r="8" spans="1:30" x14ac:dyDescent="0.25">
      <c r="A8" s="9" t="s">
        <v>234</v>
      </c>
      <c r="B8" s="9" t="s">
        <v>235</v>
      </c>
      <c r="C8" s="52"/>
      <c r="D8" s="15">
        <v>11</v>
      </c>
      <c r="E8" s="15">
        <v>9</v>
      </c>
      <c r="F8" s="15"/>
      <c r="G8" s="48">
        <v>5</v>
      </c>
      <c r="H8" s="31">
        <v>5</v>
      </c>
      <c r="I8" s="340">
        <f t="shared" si="0"/>
        <v>1</v>
      </c>
      <c r="J8" s="7">
        <v>9</v>
      </c>
      <c r="K8" s="8">
        <v>7</v>
      </c>
      <c r="L8" s="282">
        <f t="shared" si="1"/>
        <v>0.77777777777777779</v>
      </c>
      <c r="M8" s="204">
        <v>15</v>
      </c>
      <c r="N8" s="204">
        <v>14</v>
      </c>
      <c r="O8" s="289">
        <f t="shared" si="2"/>
        <v>0.93333333333333335</v>
      </c>
      <c r="P8" s="40">
        <v>12</v>
      </c>
      <c r="Q8" s="15">
        <v>8</v>
      </c>
      <c r="R8" s="41">
        <v>67</v>
      </c>
      <c r="S8" s="31">
        <v>2</v>
      </c>
      <c r="T8" s="31">
        <v>2</v>
      </c>
      <c r="U8" s="32">
        <v>1</v>
      </c>
      <c r="V8" s="8">
        <v>16</v>
      </c>
      <c r="W8" s="8">
        <v>13</v>
      </c>
      <c r="X8" s="67">
        <f>13/16</f>
        <v>0.8125</v>
      </c>
    </row>
    <row r="9" spans="1:30" ht="15.75" thickBot="1" x14ac:dyDescent="0.3">
      <c r="A9" s="35" t="s">
        <v>236</v>
      </c>
      <c r="B9" s="35" t="s">
        <v>237</v>
      </c>
      <c r="C9" s="60"/>
      <c r="D9" s="63">
        <v>38</v>
      </c>
      <c r="E9" s="63">
        <v>28</v>
      </c>
      <c r="F9" s="63"/>
      <c r="G9" s="341">
        <v>24</v>
      </c>
      <c r="H9" s="36">
        <v>24</v>
      </c>
      <c r="I9" s="342">
        <f t="shared" si="0"/>
        <v>1</v>
      </c>
      <c r="J9" s="283">
        <v>18</v>
      </c>
      <c r="K9" s="284">
        <v>13</v>
      </c>
      <c r="L9" s="285">
        <f t="shared" si="1"/>
        <v>0.72222222222222221</v>
      </c>
      <c r="M9" s="205">
        <v>31</v>
      </c>
      <c r="N9" s="205">
        <v>29</v>
      </c>
      <c r="O9" s="289">
        <f t="shared" si="2"/>
        <v>0.93548387096774188</v>
      </c>
      <c r="P9" s="62">
        <v>31</v>
      </c>
      <c r="Q9" s="63">
        <v>30</v>
      </c>
      <c r="R9" s="64">
        <v>97</v>
      </c>
      <c r="S9" s="36">
        <v>29</v>
      </c>
      <c r="T9" s="36">
        <v>22</v>
      </c>
      <c r="U9" s="37">
        <f>22/29</f>
        <v>0.75862068965517238</v>
      </c>
      <c r="V9" s="8">
        <v>19</v>
      </c>
      <c r="W9" s="8">
        <v>14</v>
      </c>
      <c r="X9" s="68">
        <f>14/19</f>
        <v>0.73684210526315785</v>
      </c>
    </row>
    <row r="10" spans="1:30" ht="15.75" thickBot="1" x14ac:dyDescent="0.3">
      <c r="A10" s="10"/>
      <c r="B10" s="20" t="s">
        <v>46</v>
      </c>
      <c r="C10" s="53"/>
      <c r="D10" s="21">
        <f>SUM(D5:D9)</f>
        <v>88</v>
      </c>
      <c r="E10" s="21">
        <f>SUM(E5:E9)</f>
        <v>73</v>
      </c>
      <c r="F10" s="21"/>
      <c r="G10" s="23">
        <f>SUM(G5:G9)</f>
        <v>42</v>
      </c>
      <c r="H10" s="23">
        <f>SUM(H5:H9)</f>
        <v>42</v>
      </c>
      <c r="I10" s="343">
        <v>1</v>
      </c>
      <c r="J10" s="221">
        <f>SUM(J6:J9)</f>
        <v>53</v>
      </c>
      <c r="K10" s="13">
        <f>SUM(K6:K9)</f>
        <v>40</v>
      </c>
      <c r="L10" s="288">
        <f>SUM(L5:L9)/5</f>
        <v>0.81085714285714283</v>
      </c>
      <c r="M10" s="203">
        <f>SUM(M5:M9)</f>
        <v>104</v>
      </c>
      <c r="N10" s="203">
        <f>SUM(N5:N9)</f>
        <v>89</v>
      </c>
      <c r="O10" s="290">
        <f>(SUM(O5:O9)/5)</f>
        <v>0.85302270011947434</v>
      </c>
      <c r="P10" s="42">
        <f>SUM(P5:P9)</f>
        <v>78</v>
      </c>
      <c r="Q10" s="21">
        <f>SUM(Q5:Q9)</f>
        <v>65</v>
      </c>
      <c r="R10" s="43">
        <v>86</v>
      </c>
      <c r="S10" s="23">
        <v>80</v>
      </c>
      <c r="T10" s="23">
        <v>63</v>
      </c>
      <c r="U10" s="34">
        <f>63/80</f>
        <v>0.78749999999999998</v>
      </c>
      <c r="V10" s="12">
        <v>135</v>
      </c>
      <c r="W10" s="12">
        <v>108</v>
      </c>
      <c r="X10" s="69">
        <f>108/135</f>
        <v>0.8</v>
      </c>
    </row>
    <row r="11" spans="1:30" ht="15.75" thickBot="1" x14ac:dyDescent="0.3"/>
    <row r="12" spans="1:30" ht="15.75" thickBot="1" x14ac:dyDescent="0.3">
      <c r="A12" s="530" t="s">
        <v>253</v>
      </c>
      <c r="B12" s="531" t="s">
        <v>176</v>
      </c>
      <c r="C12" s="532"/>
      <c r="D12" s="533" t="s">
        <v>175</v>
      </c>
      <c r="E12" s="534">
        <v>19</v>
      </c>
      <c r="F12" s="534"/>
      <c r="G12" s="533">
        <v>2024</v>
      </c>
      <c r="H12" s="534">
        <v>26</v>
      </c>
      <c r="I12" s="534"/>
      <c r="J12" s="533">
        <v>2023</v>
      </c>
      <c r="K12" s="534">
        <v>23</v>
      </c>
      <c r="L12" s="533"/>
      <c r="M12" s="533">
        <v>2022</v>
      </c>
      <c r="N12" s="534">
        <v>29</v>
      </c>
      <c r="O12" s="534"/>
      <c r="P12" s="535">
        <v>2021</v>
      </c>
      <c r="Q12" s="534">
        <v>11</v>
      </c>
      <c r="R12" s="534"/>
      <c r="S12" s="533">
        <v>2020</v>
      </c>
      <c r="T12" s="534">
        <v>30</v>
      </c>
      <c r="U12" s="535"/>
      <c r="V12" s="533">
        <v>2019</v>
      </c>
      <c r="W12" s="534">
        <v>29</v>
      </c>
      <c r="X12" s="536"/>
      <c r="Y12" s="537"/>
      <c r="Z12" s="537"/>
      <c r="AA12" s="538"/>
      <c r="AB12" s="537"/>
      <c r="AC12" s="537"/>
      <c r="AD12" s="537"/>
    </row>
    <row r="13" spans="1:30" x14ac:dyDescent="0.25">
      <c r="A13" s="539"/>
      <c r="B13" s="538"/>
      <c r="C13" s="537"/>
      <c r="D13" s="537"/>
      <c r="E13" s="537"/>
      <c r="F13" s="537"/>
      <c r="G13" s="537"/>
      <c r="H13" s="538"/>
      <c r="I13" s="537"/>
      <c r="J13" s="537"/>
      <c r="K13" s="537"/>
      <c r="L13" s="538"/>
      <c r="M13" s="537"/>
      <c r="N13" s="537"/>
      <c r="O13" s="537"/>
      <c r="P13" s="537"/>
      <c r="Q13" s="538"/>
      <c r="R13" s="537"/>
      <c r="S13" s="537"/>
      <c r="T13" s="537"/>
      <c r="U13" s="538"/>
      <c r="V13" s="537"/>
      <c r="W13" s="537"/>
      <c r="X13" s="537"/>
      <c r="Y13" s="538"/>
      <c r="Z13" s="537"/>
      <c r="AA13" s="537"/>
      <c r="AB13" s="538"/>
      <c r="AC13" s="537"/>
      <c r="AD13" s="537"/>
    </row>
    <row r="14" spans="1:30" x14ac:dyDescent="0.25">
      <c r="A14" s="538"/>
      <c r="B14" s="538"/>
      <c r="C14" s="538"/>
      <c r="D14" s="538"/>
      <c r="E14" s="538"/>
      <c r="F14" s="538"/>
      <c r="G14" s="538"/>
      <c r="H14" s="538"/>
      <c r="I14" s="538"/>
      <c r="J14" s="538"/>
      <c r="K14" s="538"/>
      <c r="L14" s="538"/>
      <c r="M14" s="538"/>
      <c r="N14" s="538"/>
      <c r="O14" s="538"/>
      <c r="P14" s="538"/>
      <c r="Q14" s="538"/>
      <c r="R14" s="538"/>
      <c r="S14" s="538"/>
      <c r="T14" s="538"/>
      <c r="U14" s="538"/>
      <c r="V14" s="538"/>
      <c r="W14" s="538"/>
      <c r="X14" s="538"/>
      <c r="Y14" s="538"/>
      <c r="Z14" s="538"/>
      <c r="AA14" s="538"/>
      <c r="AB14" s="538"/>
      <c r="AC14" s="538"/>
      <c r="AD14" s="53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11"/>
  <sheetViews>
    <sheetView workbookViewId="0">
      <selection activeCell="K11" sqref="K11"/>
    </sheetView>
  </sheetViews>
  <sheetFormatPr baseColWidth="10" defaultColWidth="8.7109375" defaultRowHeight="15" x14ac:dyDescent="0.25"/>
  <cols>
    <col min="1" max="1" width="15.28515625" customWidth="1"/>
    <col min="3" max="3" width="21.85546875" customWidth="1"/>
    <col min="16" max="16" width="10.42578125" customWidth="1"/>
    <col min="18" max="18" width="10.140625" customWidth="1"/>
    <col min="19" max="19" width="10.7109375" customWidth="1"/>
    <col min="21" max="21" width="10" customWidth="1"/>
    <col min="22" max="22" width="11.140625" customWidth="1"/>
  </cols>
  <sheetData>
    <row r="1" spans="1:24" x14ac:dyDescent="0.25">
      <c r="A1" s="22" t="s">
        <v>180</v>
      </c>
    </row>
    <row r="2" spans="1:24" ht="15.75" thickBot="1" x14ac:dyDescent="0.3"/>
    <row r="3" spans="1:24" x14ac:dyDescent="0.25">
      <c r="D3" s="72"/>
      <c r="E3" s="27" t="s">
        <v>175</v>
      </c>
      <c r="F3" s="78"/>
      <c r="G3" s="72"/>
      <c r="H3" s="27" t="s">
        <v>238</v>
      </c>
      <c r="I3" s="78"/>
      <c r="J3" s="79"/>
      <c r="K3" s="25" t="s">
        <v>239</v>
      </c>
      <c r="L3" s="80"/>
      <c r="M3" s="206"/>
      <c r="N3" s="207" t="s">
        <v>240</v>
      </c>
      <c r="O3" s="208"/>
      <c r="P3" s="38"/>
      <c r="Q3" s="14" t="s">
        <v>241</v>
      </c>
      <c r="R3" s="77"/>
      <c r="S3" s="72"/>
      <c r="T3" s="27" t="s">
        <v>242</v>
      </c>
      <c r="U3" s="78"/>
      <c r="V3" s="79"/>
      <c r="W3" s="25" t="s">
        <v>243</v>
      </c>
      <c r="X3" s="80"/>
    </row>
    <row r="4" spans="1:24" x14ac:dyDescent="0.25">
      <c r="A4" s="526" t="s">
        <v>244</v>
      </c>
      <c r="B4" s="527"/>
      <c r="C4" s="527"/>
      <c r="D4" s="49" t="s">
        <v>14</v>
      </c>
      <c r="E4" s="23" t="s">
        <v>11</v>
      </c>
      <c r="F4" s="344" t="s">
        <v>12</v>
      </c>
      <c r="G4" s="49" t="s">
        <v>14</v>
      </c>
      <c r="H4" s="23" t="s">
        <v>11</v>
      </c>
      <c r="I4" s="344" t="s">
        <v>12</v>
      </c>
      <c r="J4" s="221" t="s">
        <v>14</v>
      </c>
      <c r="K4" s="13" t="s">
        <v>11</v>
      </c>
      <c r="L4" s="287" t="s">
        <v>12</v>
      </c>
      <c r="M4" s="209" t="s">
        <v>14</v>
      </c>
      <c r="N4" s="210" t="s">
        <v>11</v>
      </c>
      <c r="O4" s="211" t="s">
        <v>12</v>
      </c>
      <c r="P4" s="17" t="s">
        <v>14</v>
      </c>
      <c r="Q4" s="18" t="s">
        <v>11</v>
      </c>
      <c r="R4" s="26" t="s">
        <v>12</v>
      </c>
      <c r="S4" s="47" t="s">
        <v>14</v>
      </c>
      <c r="T4" s="29" t="s">
        <v>11</v>
      </c>
      <c r="U4" s="73" t="s">
        <v>12</v>
      </c>
      <c r="V4" s="2" t="s">
        <v>14</v>
      </c>
      <c r="W4" s="3" t="s">
        <v>11</v>
      </c>
      <c r="X4" s="66" t="s">
        <v>12</v>
      </c>
    </row>
    <row r="5" spans="1:24" x14ac:dyDescent="0.25">
      <c r="A5" s="517" t="s">
        <v>245</v>
      </c>
      <c r="B5" s="518" t="s">
        <v>246</v>
      </c>
      <c r="C5" s="519"/>
      <c r="D5" s="31">
        <v>61</v>
      </c>
      <c r="E5" s="31">
        <v>32</v>
      </c>
      <c r="F5" s="31"/>
      <c r="G5" s="337">
        <v>55</v>
      </c>
      <c r="H5" s="338">
        <v>30</v>
      </c>
      <c r="I5" s="339">
        <f>H5/G5</f>
        <v>0.54545454545454541</v>
      </c>
      <c r="J5" s="279">
        <v>51</v>
      </c>
      <c r="K5" s="280">
        <v>37</v>
      </c>
      <c r="L5" s="281">
        <f>K5/J5</f>
        <v>0.72549019607843135</v>
      </c>
      <c r="M5" s="212">
        <v>68</v>
      </c>
      <c r="N5" s="213">
        <v>32</v>
      </c>
      <c r="O5" s="214">
        <v>47</v>
      </c>
      <c r="P5" s="40">
        <v>61</v>
      </c>
      <c r="Q5" s="15">
        <v>33</v>
      </c>
      <c r="R5" s="41">
        <v>54</v>
      </c>
      <c r="S5" s="48">
        <v>109</v>
      </c>
      <c r="T5" s="31">
        <v>41</v>
      </c>
      <c r="U5" s="74">
        <f>41/109</f>
        <v>0.37614678899082571</v>
      </c>
      <c r="V5" s="4">
        <v>61</v>
      </c>
      <c r="W5" s="5">
        <v>17</v>
      </c>
      <c r="X5" s="67">
        <f>17/61</f>
        <v>0.27868852459016391</v>
      </c>
    </row>
    <row r="6" spans="1:24" x14ac:dyDescent="0.25">
      <c r="A6" s="520" t="s">
        <v>247</v>
      </c>
      <c r="B6" s="521" t="s">
        <v>248</v>
      </c>
      <c r="C6" s="522"/>
      <c r="D6" s="31"/>
      <c r="E6" s="31"/>
      <c r="F6" s="31"/>
      <c r="G6" s="48">
        <v>8</v>
      </c>
      <c r="H6" s="31">
        <v>8</v>
      </c>
      <c r="I6" s="340">
        <f t="shared" ref="I6:I8" si="0">H6/G6</f>
        <v>1</v>
      </c>
      <c r="J6" s="7">
        <v>11</v>
      </c>
      <c r="K6" s="8">
        <v>10</v>
      </c>
      <c r="L6" s="282">
        <f t="shared" ref="L6:L7" si="1">K6/J6</f>
        <v>0.90909090909090906</v>
      </c>
      <c r="M6" s="212">
        <v>14</v>
      </c>
      <c r="N6" s="213">
        <v>13</v>
      </c>
      <c r="O6" s="214">
        <v>92</v>
      </c>
      <c r="P6" s="40">
        <v>11</v>
      </c>
      <c r="Q6" s="15">
        <v>11</v>
      </c>
      <c r="R6" s="41">
        <v>100</v>
      </c>
      <c r="S6" s="48">
        <v>33</v>
      </c>
      <c r="T6" s="31">
        <v>28</v>
      </c>
      <c r="U6" s="75">
        <f>28/33</f>
        <v>0.84848484848484851</v>
      </c>
      <c r="V6" s="7">
        <v>28</v>
      </c>
      <c r="W6" s="8">
        <v>24</v>
      </c>
      <c r="X6" s="67">
        <f>24/28</f>
        <v>0.8571428571428571</v>
      </c>
    </row>
    <row r="7" spans="1:24" x14ac:dyDescent="0.25">
      <c r="A7" s="520" t="s">
        <v>249</v>
      </c>
      <c r="B7" s="521" t="s">
        <v>250</v>
      </c>
      <c r="C7" s="522"/>
      <c r="D7" s="31">
        <v>11</v>
      </c>
      <c r="E7" s="31">
        <v>9</v>
      </c>
      <c r="F7" s="31"/>
      <c r="G7" s="48">
        <v>6</v>
      </c>
      <c r="H7" s="31">
        <v>6</v>
      </c>
      <c r="I7" s="340">
        <f t="shared" si="0"/>
        <v>1</v>
      </c>
      <c r="J7" s="7">
        <v>8</v>
      </c>
      <c r="K7" s="8">
        <v>6</v>
      </c>
      <c r="L7" s="282">
        <f t="shared" si="1"/>
        <v>0.75</v>
      </c>
      <c r="M7" s="212">
        <v>7</v>
      </c>
      <c r="N7" s="213">
        <v>6</v>
      </c>
      <c r="O7" s="214">
        <v>86</v>
      </c>
      <c r="P7" s="40">
        <v>5</v>
      </c>
      <c r="Q7" s="15">
        <v>4</v>
      </c>
      <c r="R7" s="41">
        <v>80</v>
      </c>
      <c r="S7" s="48">
        <v>17</v>
      </c>
      <c r="T7" s="31">
        <v>17</v>
      </c>
      <c r="U7" s="75">
        <f>17/17</f>
        <v>1</v>
      </c>
      <c r="V7" s="7">
        <v>17</v>
      </c>
      <c r="W7" s="8">
        <v>17</v>
      </c>
      <c r="X7" s="67">
        <v>1</v>
      </c>
    </row>
    <row r="8" spans="1:24" x14ac:dyDescent="0.25">
      <c r="A8" s="523" t="s">
        <v>251</v>
      </c>
      <c r="B8" s="524" t="s">
        <v>252</v>
      </c>
      <c r="C8" s="525"/>
      <c r="D8" s="31">
        <v>4</v>
      </c>
      <c r="E8" s="31">
        <v>4</v>
      </c>
      <c r="F8" s="31"/>
      <c r="G8" s="48">
        <v>3</v>
      </c>
      <c r="H8" s="31">
        <v>3</v>
      </c>
      <c r="I8" s="340">
        <f t="shared" si="0"/>
        <v>1</v>
      </c>
      <c r="J8" s="7"/>
      <c r="K8" s="8"/>
      <c r="L8" s="282"/>
      <c r="M8" s="212"/>
      <c r="N8" s="213"/>
      <c r="O8" s="214"/>
      <c r="P8" s="40"/>
      <c r="Q8" s="15"/>
      <c r="R8" s="41"/>
      <c r="S8" s="48"/>
      <c r="T8" s="31"/>
      <c r="U8" s="75"/>
      <c r="V8" s="7"/>
      <c r="W8" s="8"/>
      <c r="X8" s="67"/>
    </row>
    <row r="9" spans="1:24" x14ac:dyDescent="0.25">
      <c r="A9" s="528"/>
      <c r="B9" s="529" t="s">
        <v>46</v>
      </c>
      <c r="C9" s="529"/>
      <c r="D9" s="24">
        <f>SUM(D5:D8)</f>
        <v>76</v>
      </c>
      <c r="E9" s="24">
        <f>SUM(E5:E8)</f>
        <v>45</v>
      </c>
      <c r="F9" s="24"/>
      <c r="G9" s="47">
        <f>SUM(G5:G7)</f>
        <v>69</v>
      </c>
      <c r="H9" s="24">
        <f t="shared" ref="H9" si="2">SUM(H5:H7)</f>
        <v>44</v>
      </c>
      <c r="I9" s="345">
        <f>(SUM(I5:I7)/3)</f>
        <v>0.84848484848484851</v>
      </c>
      <c r="J9" s="2">
        <f>SUM(J5:J7)</f>
        <v>70</v>
      </c>
      <c r="K9" s="12">
        <f t="shared" ref="K9" si="3">SUM(K5:K7)</f>
        <v>53</v>
      </c>
      <c r="L9" s="346">
        <f>(SUM(L5:L7)/3)</f>
        <v>0.79486036838978025</v>
      </c>
      <c r="M9" s="347">
        <f>SUM(M5:M7)</f>
        <v>89</v>
      </c>
      <c r="N9" s="348">
        <f>SUM(N5:N7)</f>
        <v>51</v>
      </c>
      <c r="O9" s="349">
        <v>57</v>
      </c>
      <c r="P9" s="17">
        <f>SUM(P5:P7)</f>
        <v>77</v>
      </c>
      <c r="Q9" s="16">
        <f>SUM(Q5:Q7)</f>
        <v>48</v>
      </c>
      <c r="R9" s="350">
        <v>66</v>
      </c>
      <c r="S9" s="47">
        <v>171</v>
      </c>
      <c r="T9" s="24">
        <v>97</v>
      </c>
      <c r="U9" s="351">
        <f>97/171</f>
        <v>0.56725146198830412</v>
      </c>
      <c r="V9" s="2">
        <v>118</v>
      </c>
      <c r="W9" s="12">
        <v>69</v>
      </c>
      <c r="X9" s="69">
        <f>69/118</f>
        <v>0.5847457627118644</v>
      </c>
    </row>
    <row r="11" spans="1:24" x14ac:dyDescent="0.25">
      <c r="A11" s="530" t="s">
        <v>253</v>
      </c>
      <c r="B11" s="531" t="s">
        <v>254</v>
      </c>
      <c r="C11" s="532"/>
      <c r="D11" s="533" t="s">
        <v>175</v>
      </c>
      <c r="E11" s="534">
        <v>0</v>
      </c>
      <c r="F11" s="534"/>
      <c r="G11" s="533">
        <v>2024</v>
      </c>
      <c r="H11" s="534">
        <v>6</v>
      </c>
      <c r="I11" s="534"/>
      <c r="J11" s="533">
        <v>2023</v>
      </c>
      <c r="K11" s="534">
        <v>1</v>
      </c>
      <c r="L11" s="533"/>
      <c r="M11" s="533">
        <v>2022</v>
      </c>
      <c r="N11" s="534">
        <v>4</v>
      </c>
      <c r="O11" s="534"/>
      <c r="P11" s="535">
        <v>2021</v>
      </c>
      <c r="Q11" s="534">
        <v>15</v>
      </c>
      <c r="R11" s="534"/>
      <c r="S11" s="533">
        <v>2020</v>
      </c>
      <c r="T11" s="534">
        <v>14</v>
      </c>
      <c r="U11" s="535"/>
      <c r="V11" s="533">
        <v>2019</v>
      </c>
      <c r="W11" s="534">
        <v>10</v>
      </c>
      <c r="X11" s="536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2C6D564A13E2E48B557FCF1C61227A7" ma:contentTypeVersion="6" ma:contentTypeDescription="Opprett et nytt dokument." ma:contentTypeScope="" ma:versionID="8c20fc2a4f8c53d46d0765d7a4a288e9">
  <xsd:schema xmlns:xsd="http://www.w3.org/2001/XMLSchema" xmlns:xs="http://www.w3.org/2001/XMLSchema" xmlns:p="http://schemas.microsoft.com/office/2006/metadata/properties" xmlns:ns2="ce9f5187-565f-4f26-b0f8-655e8f5ad056" xmlns:ns3="d776c21b-d63a-4bdf-8b86-fc78c83f599e" targetNamespace="http://schemas.microsoft.com/office/2006/metadata/properties" ma:root="true" ma:fieldsID="4c257d7629fdf94fc774d5f44e258ce0" ns2:_="" ns3:_="">
    <xsd:import namespace="ce9f5187-565f-4f26-b0f8-655e8f5ad056"/>
    <xsd:import namespace="d776c21b-d63a-4bdf-8b86-fc78c83f59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9f5187-565f-4f26-b0f8-655e8f5ad0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76c21b-d63a-4bdf-8b86-fc78c83f599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5179FA6-EEAD-4450-8718-D456D9BED7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9f5187-565f-4f26-b0f8-655e8f5ad056"/>
    <ds:schemaRef ds:uri="d776c21b-d63a-4bdf-8b86-fc78c83f59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FDEF1FE-2AFB-47B9-92BC-23DAE2684C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BFB63B-C2C9-4AC9-821E-0ED41054F298}">
  <ds:schemaRefs>
    <ds:schemaRef ds:uri="http://schemas.microsoft.com/office/2006/metadata/properties"/>
    <ds:schemaRef ds:uri="http://schemas.microsoft.com/office/infopath/2007/PartnerControls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4</vt:i4>
      </vt:variant>
    </vt:vector>
  </HeadingPairs>
  <TitlesOfParts>
    <vt:vector size="4" baseType="lpstr">
      <vt:lpstr>MiR</vt:lpstr>
      <vt:lpstr>IKRS</vt:lpstr>
      <vt:lpstr>HUMR</vt:lpstr>
      <vt:lpstr>SERI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2025-09-04T11:07:48Z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0x01010022C6D564A13E2E48B557FCF1C61227A7</vt:lpwstr>
  </property>
</Properties>
</file>